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ward\Downloads\A46 Newark Bypass\"/>
    </mc:Choice>
  </mc:AlternateContent>
  <xr:revisionPtr revIDLastSave="0" documentId="8_{CD137FEE-DFBB-4CE6-954E-483AC354CA27}" xr6:coauthVersionLast="47" xr6:coauthVersionMax="47" xr10:uidLastSave="{00000000-0000-0000-0000-000000000000}"/>
  <bookViews>
    <workbookView xWindow="-108" yWindow="-108" windowWidth="23256" windowHeight="13176" xr2:uid="{9649C4C6-56F8-4770-9F05-39997E45D4E5}"/>
  </bookViews>
  <sheets>
    <sheet name="Jacobs 2016 calculations" sheetId="1" r:id="rId1"/>
    <sheet name="Atkins 2022 calculations" sheetId="2" r:id="rId2"/>
    <sheet name="Howard Pack 2024 (1)" sheetId="3" r:id="rId3"/>
    <sheet name="Howard Pack 2024 (2)" sheetId="4" r:id="rId4"/>
    <sheet name="Howard Pack 2024 (3)" sheetId="5" r:id="rId5"/>
  </sheets>
  <calcPr calcId="191029" iterate="1" iterateCount="10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5" l="1"/>
  <c r="B39" i="5"/>
  <c r="G41" i="5" s="1"/>
  <c r="G34" i="5"/>
  <c r="H42" i="5" s="1"/>
  <c r="F20" i="5"/>
  <c r="G15" i="5"/>
  <c r="D12" i="5"/>
  <c r="G13" i="5" s="1"/>
  <c r="G4" i="5"/>
  <c r="H14" i="5" s="1"/>
  <c r="C4" i="5"/>
  <c r="F48" i="4"/>
  <c r="G41" i="4"/>
  <c r="B39" i="4"/>
  <c r="G34" i="4"/>
  <c r="F20" i="4"/>
  <c r="G15" i="4"/>
  <c r="G13" i="4"/>
  <c r="D12" i="4"/>
  <c r="C4" i="4"/>
  <c r="G4" i="4" s="1"/>
  <c r="H14" i="4" s="1"/>
  <c r="F48" i="3"/>
  <c r="B39" i="3"/>
  <c r="G41" i="3" s="1"/>
  <c r="G34" i="3"/>
  <c r="H42" i="3" s="1"/>
  <c r="F20" i="3"/>
  <c r="G15" i="3"/>
  <c r="D12" i="3"/>
  <c r="G13" i="3" s="1"/>
  <c r="G4" i="3"/>
  <c r="H14" i="3" s="1"/>
  <c r="C4" i="3"/>
  <c r="F47" i="2"/>
  <c r="B38" i="2"/>
  <c r="G40" i="2" s="1"/>
  <c r="G33" i="2"/>
  <c r="H41" i="2" s="1"/>
  <c r="F19" i="2"/>
  <c r="G14" i="2"/>
  <c r="D11" i="2"/>
  <c r="G12" i="2" s="1"/>
  <c r="C3" i="2"/>
  <c r="G3" i="2" s="1"/>
  <c r="H13" i="2" s="1"/>
  <c r="I14" i="3" l="1"/>
  <c r="I22" i="3" s="1"/>
  <c r="H22" i="3" s="1"/>
  <c r="G18" i="3"/>
  <c r="G46" i="3"/>
  <c r="G44" i="3"/>
  <c r="G52" i="3" s="1"/>
  <c r="I42" i="3"/>
  <c r="I50" i="3" s="1"/>
  <c r="H50" i="3" s="1"/>
  <c r="G26" i="4"/>
  <c r="I14" i="5"/>
  <c r="I22" i="5" s="1"/>
  <c r="H22" i="5" s="1"/>
  <c r="G18" i="5"/>
  <c r="G46" i="5"/>
  <c r="I42" i="5"/>
  <c r="I50" i="5" s="1"/>
  <c r="H50" i="5" s="1"/>
  <c r="G44" i="5"/>
  <c r="G52" i="5" s="1"/>
  <c r="G54" i="5"/>
  <c r="G16" i="4"/>
  <c r="G24" i="4" s="1"/>
  <c r="H25" i="4" s="1"/>
  <c r="G18" i="4"/>
  <c r="I14" i="4"/>
  <c r="I22" i="4" s="1"/>
  <c r="H22" i="4" s="1"/>
  <c r="G16" i="5"/>
  <c r="G24" i="5" s="1"/>
  <c r="G26" i="5" s="1"/>
  <c r="H42" i="4"/>
  <c r="G16" i="3"/>
  <c r="G24" i="3" s="1"/>
  <c r="G26" i="3" s="1"/>
  <c r="I13" i="2"/>
  <c r="I21" i="2" s="1"/>
  <c r="H21" i="2" s="1"/>
  <c r="G17" i="2"/>
  <c r="G45" i="2"/>
  <c r="G43" i="2"/>
  <c r="G51" i="2" s="1"/>
  <c r="I41" i="2"/>
  <c r="I49" i="2" s="1"/>
  <c r="H49" i="2" s="1"/>
  <c r="H24" i="2"/>
  <c r="G15" i="2"/>
  <c r="G23" i="2" s="1"/>
  <c r="I24" i="2" s="1"/>
  <c r="I27" i="5" l="1"/>
  <c r="I28" i="5" s="1"/>
  <c r="H27" i="5"/>
  <c r="I27" i="3"/>
  <c r="I28" i="3" s="1"/>
  <c r="H27" i="3"/>
  <c r="H27" i="4"/>
  <c r="I27" i="4"/>
  <c r="I28" i="4" s="1"/>
  <c r="H53" i="3"/>
  <c r="I53" i="3"/>
  <c r="I25" i="3"/>
  <c r="I25" i="4"/>
  <c r="G54" i="3"/>
  <c r="I25" i="5"/>
  <c r="H25" i="5"/>
  <c r="I55" i="5"/>
  <c r="I56" i="5" s="1"/>
  <c r="H55" i="5"/>
  <c r="H25" i="3"/>
  <c r="G44" i="4"/>
  <c r="G52" i="4" s="1"/>
  <c r="G46" i="4"/>
  <c r="I42" i="4"/>
  <c r="I50" i="4" s="1"/>
  <c r="H50" i="4" s="1"/>
  <c r="H53" i="5"/>
  <c r="I53" i="5"/>
  <c r="H52" i="2"/>
  <c r="I52" i="2"/>
  <c r="G53" i="2"/>
  <c r="G25" i="2"/>
  <c r="I55" i="3" l="1"/>
  <c r="I56" i="3" s="1"/>
  <c r="H55" i="3"/>
  <c r="I29" i="3"/>
  <c r="H28" i="3"/>
  <c r="H29" i="3" s="1"/>
  <c r="I57" i="5"/>
  <c r="H56" i="5"/>
  <c r="H57" i="5" s="1"/>
  <c r="H28" i="4"/>
  <c r="H29" i="4" s="1"/>
  <c r="I29" i="4"/>
  <c r="I53" i="4"/>
  <c r="H53" i="4"/>
  <c r="G54" i="4"/>
  <c r="I29" i="5"/>
  <c r="H28" i="5"/>
  <c r="H29" i="5" s="1"/>
  <c r="I26" i="2"/>
  <c r="I27" i="2" s="1"/>
  <c r="H26" i="2"/>
  <c r="I54" i="2"/>
  <c r="I55" i="2" s="1"/>
  <c r="H54" i="2"/>
  <c r="H55" i="4" l="1"/>
  <c r="I55" i="4"/>
  <c r="I56" i="4" s="1"/>
  <c r="I57" i="3"/>
  <c r="H56" i="3"/>
  <c r="H57" i="3" s="1"/>
  <c r="I56" i="2"/>
  <c r="H55" i="2"/>
  <c r="H56" i="2" s="1"/>
  <c r="I28" i="2"/>
  <c r="H27" i="2"/>
  <c r="H28" i="2" s="1"/>
  <c r="H56" i="4" l="1"/>
  <c r="H57" i="4" s="1"/>
  <c r="I57" i="4"/>
  <c r="F48" i="1" l="1"/>
  <c r="B39" i="1"/>
  <c r="G41" i="1" s="1"/>
  <c r="G34" i="1"/>
  <c r="H42" i="1" s="1"/>
  <c r="F19" i="1"/>
  <c r="D11" i="1"/>
  <c r="G12" i="1" s="1"/>
  <c r="G3" i="1"/>
  <c r="G46" i="1" l="1"/>
  <c r="G44" i="1"/>
  <c r="G52" i="1" s="1"/>
  <c r="I42" i="1"/>
  <c r="I50" i="1" s="1"/>
  <c r="H50" i="1" s="1"/>
  <c r="H13" i="1"/>
  <c r="H53" i="1" l="1"/>
  <c r="I53" i="1"/>
  <c r="G17" i="1"/>
  <c r="G15" i="1"/>
  <c r="G23" i="1" s="1"/>
  <c r="I13" i="1"/>
  <c r="I21" i="1" s="1"/>
  <c r="H21" i="1" s="1"/>
  <c r="G54" i="1"/>
  <c r="I24" i="1" l="1"/>
  <c r="H24" i="1"/>
  <c r="G25" i="1"/>
  <c r="I55" i="1"/>
  <c r="I56" i="1" s="1"/>
  <c r="H55" i="1"/>
  <c r="I57" i="1" l="1"/>
  <c r="H56" i="1"/>
  <c r="H57" i="1" s="1"/>
  <c r="H26" i="1"/>
  <c r="I26" i="1"/>
  <c r="I27" i="1" s="1"/>
  <c r="H27" i="1" l="1"/>
  <c r="H28" i="1" s="1"/>
  <c r="I28" i="1"/>
</calcChain>
</file>

<file path=xl/sharedStrings.xml><?xml version="1.0" encoding="utf-8"?>
<sst xmlns="http://schemas.openxmlformats.org/spreadsheetml/2006/main" count="344" uniqueCount="75">
  <si>
    <t>Jacobs 2016 Newark Flyover Report Calculations re-examined - H. Pack</t>
  </si>
  <si>
    <t>Start of gradient west of A46</t>
  </si>
  <si>
    <t>A46 East Railway Bridge</t>
  </si>
  <si>
    <t>ECML Viaduct span</t>
  </si>
  <si>
    <t>Degrees</t>
  </si>
  <si>
    <t>Length m.</t>
  </si>
  <si>
    <t>Gradient ratio</t>
  </si>
  <si>
    <r>
      <t xml:space="preserve">Gradient </t>
    </r>
    <r>
      <rPr>
        <sz val="11"/>
        <color theme="1"/>
        <rFont val="Calibri"/>
        <family val="2"/>
      </rPr>
      <t>‰</t>
    </r>
  </si>
  <si>
    <t>Southern Grade from A46 northwards to west end of ECML viaduct span</t>
  </si>
  <si>
    <t>Not in Calculation</t>
  </si>
  <si>
    <t>Start of calculation</t>
  </si>
  <si>
    <t>End of calculation</t>
  </si>
  <si>
    <t>Chainage measured from start of gradient and to bridge ends</t>
  </si>
  <si>
    <t>Rail height above AOD at start of gradient west of A46</t>
  </si>
  <si>
    <t>Rail height above AOD at A46 existing east end of bridge</t>
  </si>
  <si>
    <t>Rail to soffit height at A46 existing east end (Secondary cross country links)</t>
  </si>
  <si>
    <t>ECML rail height above AOD at west end of viaduct span over ECML</t>
  </si>
  <si>
    <t>Rail to Soffit desired height (Primary Intercity main routes)</t>
  </si>
  <si>
    <t>Construction depth (widened box girder)</t>
  </si>
  <si>
    <t>Track depth (Ballast, 5F41 sleepers &amp; CEN56 rail)</t>
  </si>
  <si>
    <t>Rail to rail height (ECML viaduct)</t>
  </si>
  <si>
    <t>Grade height</t>
  </si>
  <si>
    <t>Primary uncompensated gradient</t>
  </si>
  <si>
    <t>Straight track length (including half of transition lengths to straight)</t>
  </si>
  <si>
    <t>Initial straight track grade height</t>
  </si>
  <si>
    <t>Curved track length (including half of transition lengths from straight)</t>
  </si>
  <si>
    <t>Initial curved track grade height</t>
  </si>
  <si>
    <t>Curve radius R</t>
  </si>
  <si>
    <t>Degree of curvature ⁰</t>
  </si>
  <si>
    <t>Resistance compensation factor (speed &gt; 30mph) P‰</t>
  </si>
  <si>
    <t>Initial compensated gradient on curves</t>
  </si>
  <si>
    <t>Iterated incremental eqivalent increase in straight track grade height</t>
  </si>
  <si>
    <t>Iterated straight track grade height</t>
  </si>
  <si>
    <t>Final straight track gradient</t>
  </si>
  <si>
    <t>Iterated curved track grade height</t>
  </si>
  <si>
    <t>Final uncompensated track gradient on curves</t>
  </si>
  <si>
    <t>Iterated compensated track gradient on curves</t>
  </si>
  <si>
    <t>Final Equivalent Track Gradient</t>
  </si>
  <si>
    <t>NB Jacobs show the equivalent track gradient as the curve compensated gradient.</t>
  </si>
  <si>
    <t>NB Jacobs assumption on the Soffit height of the A46 overline bridge is not sustainable, in consequence the gradient is in error.</t>
  </si>
  <si>
    <t>Northern Grade from east end of vertical curve on ECML viaduct span northwards towards A1 overline bridge</t>
  </si>
  <si>
    <t>Vertical curve on ECML viaduct span</t>
  </si>
  <si>
    <t>End of vertical curve</t>
  </si>
  <si>
    <t>End of down grade near A1</t>
  </si>
  <si>
    <t>Not in calculation</t>
  </si>
  <si>
    <t>Chainage measured from east end of vertical curve on ECML viaduct to end of down grade</t>
  </si>
  <si>
    <t>Rail height above AOD at end of gradient west of A1</t>
  </si>
  <si>
    <t>Straight track length (no horizontal transitions shown because of curve radii of 3,000m)</t>
  </si>
  <si>
    <t>Curved track length (no horizontal transitions shown because of curve radii of 3,000m)</t>
  </si>
  <si>
    <t>Iterated incremental equivalent increase in straight track grade height</t>
  </si>
  <si>
    <t xml:space="preserve">NB Jacobs do not show an equivalent track gradient, only a curve compensated gradient </t>
  </si>
  <si>
    <t>Atkins 2022 Newark Flyover Report Calculations re-examined - H. Pack</t>
  </si>
  <si>
    <t>Railway at grade west of A46</t>
  </si>
  <si>
    <t>Southern grade from A46 northwards to west end of ECML viaduct span</t>
  </si>
  <si>
    <t>Chainage measured from start of gradient and to bridge ends 
(adjusted to start of main grade)</t>
  </si>
  <si>
    <t xml:space="preserve">Rail height above AOD at A46 existing east end of bridge </t>
  </si>
  <si>
    <t>Rail to Soffit desired height (Primary Intercity main routes: 5.1m)</t>
  </si>
  <si>
    <t>Construction depth (Warren Truss with cross-girders &amp; concrete deck)</t>
  </si>
  <si>
    <t>Track depth (Ballast, 5F41 sleepers &amp; CEN56 rail: 0.665m)</t>
  </si>
  <si>
    <t>Resistance compensation factor (speed &gt; 30mph &amp; CWR) P‰</t>
  </si>
  <si>
    <t>NB I am unable to replicate the Atkins work as the data is inconsistent.</t>
  </si>
  <si>
    <t>Rail to Soffit desired height (Primary Intercity main routes 5.1m)</t>
  </si>
  <si>
    <t>Straight track length</t>
  </si>
  <si>
    <t xml:space="preserve">Curved track length </t>
  </si>
  <si>
    <t>Newark Flyover Report Calculations re-examined - H. Pack</t>
  </si>
  <si>
    <t>Length</t>
  </si>
  <si>
    <t>Most measures to lower grade height included</t>
  </si>
  <si>
    <t>Chainage measured from start of gradient and to bridge ends (adjusted to start at northend of existing A46)</t>
  </si>
  <si>
    <t>Rail to Soffit desired height (Primary Intercity main routes: desirable 5.1m, minimum 4.780m)</t>
  </si>
  <si>
    <t>Construction depth (Extended &amp; widened E-Type or Box Girder with composite deck)</t>
  </si>
  <si>
    <t>Track depth (Ballast, 5EF36 sleepers &amp; CEN56 rail: 0.630m)</t>
  </si>
  <si>
    <t>Straight track length (including half of transition lengths to straight) (adjusted to start of main grade)</t>
  </si>
  <si>
    <t>All measures to lower grade height included plus ECML lower track height as per D.C.O. Elevation 3</t>
  </si>
  <si>
    <t>Rail height above AOD at start of gradient west of A46 bridge</t>
  </si>
  <si>
    <t>All measures to lower grade height included plus ECML lower track height as per D.C.O. Elevation 3 and reduced deck construction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</si>
</sst>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2" fontId="0" fillId="0" borderId="0" xfId="0" applyNumberFormat="1"/>
    <xf numFmtId="165" fontId="4" fillId="0" borderId="0" xfId="0" applyNumberFormat="1" applyFont="1"/>
    <xf numFmtId="1" fontId="5" fillId="0" borderId="0" xfId="0" applyNumberFormat="1" applyFont="1"/>
    <xf numFmtId="2" fontId="1" fillId="0" borderId="0" xfId="0" applyNumberFormat="1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5624-7869-456E-8123-0681EE1CD586}">
  <dimension ref="A1:K69"/>
  <sheetViews>
    <sheetView tabSelected="1" topLeftCell="A40" workbookViewId="0">
      <selection activeCell="A78" sqref="A78"/>
    </sheetView>
  </sheetViews>
  <sheetFormatPr defaultRowHeight="14.4" x14ac:dyDescent="0.3"/>
  <cols>
    <col min="1" max="1" width="75.33203125" customWidth="1"/>
    <col min="2" max="2" width="30.33203125" customWidth="1"/>
    <col min="3" max="3" width="20.6640625" customWidth="1"/>
    <col min="4" max="4" width="23.88671875" customWidth="1"/>
    <col min="5" max="5" width="4.5546875" customWidth="1"/>
    <col min="6" max="6" width="9.5546875" customWidth="1"/>
    <col min="7" max="7" width="9" customWidth="1"/>
    <col min="8" max="8" width="12.6640625" customWidth="1"/>
    <col min="9" max="9" width="11" customWidth="1"/>
    <col min="11" max="11" width="27" customWidth="1"/>
    <col min="12" max="12" width="17.44140625" customWidth="1"/>
  </cols>
  <sheetData>
    <row r="1" spans="1:9" ht="13.95" customHeight="1" x14ac:dyDescent="0.3">
      <c r="A1" s="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ht="13.95" customHeight="1" x14ac:dyDescent="0.3">
      <c r="A2" s="1" t="s">
        <v>8</v>
      </c>
      <c r="B2" t="s">
        <v>9</v>
      </c>
      <c r="C2" t="s">
        <v>10</v>
      </c>
      <c r="D2" t="s">
        <v>11</v>
      </c>
    </row>
    <row r="3" spans="1:9" x14ac:dyDescent="0.3">
      <c r="A3" t="s">
        <v>12</v>
      </c>
      <c r="B3" s="2">
        <v>1104</v>
      </c>
      <c r="C3" s="2">
        <v>1202</v>
      </c>
      <c r="D3" s="2">
        <v>1932</v>
      </c>
      <c r="E3" s="2"/>
      <c r="F3" s="3"/>
      <c r="G3" s="3">
        <f>D3-C3</f>
        <v>730</v>
      </c>
    </row>
    <row r="4" spans="1:9" x14ac:dyDescent="0.3">
      <c r="A4" t="s">
        <v>13</v>
      </c>
      <c r="B4" s="3">
        <v>12</v>
      </c>
      <c r="C4" s="2"/>
      <c r="D4" s="2"/>
      <c r="E4" s="2"/>
      <c r="F4" s="3"/>
      <c r="G4" s="3"/>
    </row>
    <row r="5" spans="1:9" x14ac:dyDescent="0.3">
      <c r="A5" t="s">
        <v>14</v>
      </c>
      <c r="C5" s="3">
        <v>12.82</v>
      </c>
      <c r="D5" s="3"/>
      <c r="E5" s="3"/>
      <c r="F5" s="3"/>
      <c r="G5" s="3"/>
    </row>
    <row r="6" spans="1:9" x14ac:dyDescent="0.3">
      <c r="A6" t="s">
        <v>15</v>
      </c>
      <c r="C6" s="3">
        <v>4.8</v>
      </c>
      <c r="D6" s="3"/>
      <c r="E6" s="3"/>
      <c r="F6" s="3"/>
      <c r="G6" s="3"/>
    </row>
    <row r="7" spans="1:9" x14ac:dyDescent="0.3">
      <c r="A7" t="s">
        <v>16</v>
      </c>
      <c r="C7" s="3"/>
      <c r="D7" s="3">
        <v>13.46</v>
      </c>
      <c r="E7" s="3"/>
      <c r="F7" s="3"/>
      <c r="G7" s="3"/>
    </row>
    <row r="8" spans="1:9" x14ac:dyDescent="0.3">
      <c r="A8" t="s">
        <v>17</v>
      </c>
      <c r="C8" s="3"/>
      <c r="D8" s="3">
        <v>5.0999999999999996</v>
      </c>
      <c r="E8" s="3"/>
      <c r="F8" s="3"/>
      <c r="G8" s="3"/>
    </row>
    <row r="9" spans="1:9" x14ac:dyDescent="0.3">
      <c r="A9" t="s">
        <v>18</v>
      </c>
      <c r="C9" s="3"/>
      <c r="D9" s="3">
        <v>0.59399999999999997</v>
      </c>
      <c r="E9" s="3"/>
      <c r="F9" s="3"/>
      <c r="G9" s="3"/>
    </row>
    <row r="10" spans="1:9" x14ac:dyDescent="0.3">
      <c r="A10" t="s">
        <v>19</v>
      </c>
      <c r="C10" s="3"/>
      <c r="D10" s="3">
        <v>0.66500000000000004</v>
      </c>
      <c r="E10" s="3"/>
      <c r="F10" s="3"/>
      <c r="G10" s="3"/>
    </row>
    <row r="11" spans="1:9" x14ac:dyDescent="0.3">
      <c r="A11" t="s">
        <v>20</v>
      </c>
      <c r="C11" s="3"/>
      <c r="D11" s="3">
        <f>SUM(D8:D10)</f>
        <v>6.359</v>
      </c>
      <c r="E11" s="3"/>
      <c r="F11" s="3"/>
      <c r="G11" s="3"/>
    </row>
    <row r="12" spans="1:9" x14ac:dyDescent="0.3">
      <c r="A12" t="s">
        <v>21</v>
      </c>
      <c r="C12" s="3"/>
      <c r="D12" s="3"/>
      <c r="E12" s="3"/>
      <c r="F12" s="3"/>
      <c r="G12" s="4">
        <f>D11+D7-C5</f>
        <v>6.9990000000000023</v>
      </c>
      <c r="H12" s="5"/>
    </row>
    <row r="13" spans="1:9" x14ac:dyDescent="0.3">
      <c r="A13" t="s">
        <v>22</v>
      </c>
      <c r="D13" s="3"/>
      <c r="E13" s="3"/>
      <c r="F13" s="3"/>
      <c r="G13" s="4"/>
      <c r="H13" s="6">
        <f>G3/G12</f>
        <v>104.30061437348189</v>
      </c>
      <c r="I13" s="7">
        <f>1000/H13</f>
        <v>9.5876712328767155</v>
      </c>
    </row>
    <row r="14" spans="1:9" x14ac:dyDescent="0.3">
      <c r="A14" t="s">
        <v>23</v>
      </c>
      <c r="D14" s="3"/>
      <c r="E14" s="3"/>
      <c r="F14" s="3"/>
      <c r="G14" s="4">
        <v>145.07900000000001</v>
      </c>
      <c r="H14" s="5"/>
    </row>
    <row r="15" spans="1:9" x14ac:dyDescent="0.3">
      <c r="A15" t="s">
        <v>24</v>
      </c>
      <c r="D15" s="3"/>
      <c r="E15" s="3"/>
      <c r="F15" s="3"/>
      <c r="G15" s="4">
        <f>G14/H13</f>
        <v>1.390969754794521</v>
      </c>
      <c r="H15" s="5"/>
    </row>
    <row r="16" spans="1:9" x14ac:dyDescent="0.3">
      <c r="A16" t="s">
        <v>25</v>
      </c>
      <c r="D16" s="3"/>
      <c r="E16" s="3"/>
      <c r="F16" s="3"/>
      <c r="G16" s="4">
        <v>584.92100000000005</v>
      </c>
      <c r="H16" s="5"/>
    </row>
    <row r="17" spans="1:9" x14ac:dyDescent="0.3">
      <c r="A17" t="s">
        <v>26</v>
      </c>
      <c r="D17" s="3"/>
      <c r="E17" s="3"/>
      <c r="F17" s="3"/>
      <c r="G17" s="4">
        <f>G16/H13</f>
        <v>5.608030245205482</v>
      </c>
      <c r="H17" s="5"/>
    </row>
    <row r="18" spans="1:9" x14ac:dyDescent="0.3">
      <c r="A18" t="s">
        <v>27</v>
      </c>
      <c r="D18" s="3"/>
      <c r="E18" s="3"/>
      <c r="F18" s="3"/>
      <c r="G18" s="4">
        <v>1000</v>
      </c>
      <c r="H18" s="5"/>
    </row>
    <row r="19" spans="1:9" x14ac:dyDescent="0.3">
      <c r="A19" t="s">
        <v>28</v>
      </c>
      <c r="D19" s="3"/>
      <c r="E19" s="3"/>
      <c r="F19" s="3">
        <f>DEGREES(ASIN(15.24/G18)*2)</f>
        <v>1.7464429681167768</v>
      </c>
      <c r="G19" s="4"/>
      <c r="H19" s="5"/>
    </row>
    <row r="20" spans="1:9" x14ac:dyDescent="0.3">
      <c r="A20" t="s">
        <v>29</v>
      </c>
      <c r="D20" s="3"/>
      <c r="E20" s="3"/>
      <c r="F20" s="3"/>
      <c r="G20" s="4"/>
      <c r="H20" s="5"/>
      <c r="I20">
        <v>0.3</v>
      </c>
    </row>
    <row r="21" spans="1:9" x14ac:dyDescent="0.3">
      <c r="A21" t="s">
        <v>30</v>
      </c>
      <c r="C21" s="3"/>
      <c r="D21" s="3"/>
      <c r="E21" s="3"/>
      <c r="F21" s="3"/>
      <c r="G21" s="4"/>
      <c r="H21" s="6">
        <f>1000/I21</f>
        <v>98.896276773193179</v>
      </c>
      <c r="I21" s="7">
        <f>I13+(F19*I20)</f>
        <v>10.111604123311748</v>
      </c>
    </row>
    <row r="22" spans="1:9" x14ac:dyDescent="0.3">
      <c r="A22" t="s">
        <v>31</v>
      </c>
      <c r="C22" s="3"/>
      <c r="D22" s="3"/>
      <c r="E22" s="3"/>
      <c r="F22" s="3"/>
      <c r="G22" s="8">
        <v>6.0999999999999999E-2</v>
      </c>
      <c r="H22" s="6"/>
      <c r="I22" s="7"/>
    </row>
    <row r="23" spans="1:9" x14ac:dyDescent="0.3">
      <c r="A23" t="s">
        <v>32</v>
      </c>
      <c r="C23" s="3"/>
      <c r="D23" s="3"/>
      <c r="E23" s="3"/>
      <c r="F23" s="3"/>
      <c r="G23" s="4">
        <f>G15+G22</f>
        <v>1.451969754794521</v>
      </c>
      <c r="H23" s="6"/>
      <c r="I23" s="7"/>
    </row>
    <row r="24" spans="1:9" x14ac:dyDescent="0.3">
      <c r="A24" s="1" t="s">
        <v>33</v>
      </c>
      <c r="C24" s="3"/>
      <c r="D24" s="3"/>
      <c r="E24" s="3"/>
      <c r="F24" s="3"/>
      <c r="H24" s="9">
        <f>G14/G23</f>
        <v>99.918747977316656</v>
      </c>
      <c r="I24" s="10">
        <f>1000/(G14/G23)</f>
        <v>10.008131809528058</v>
      </c>
    </row>
    <row r="25" spans="1:9" x14ac:dyDescent="0.3">
      <c r="A25" t="s">
        <v>34</v>
      </c>
      <c r="C25" s="3"/>
      <c r="D25" s="3"/>
      <c r="E25" s="3"/>
      <c r="F25" s="3"/>
      <c r="G25" s="4">
        <f>G12-G23</f>
        <v>5.5470302452054812</v>
      </c>
      <c r="H25" s="6"/>
      <c r="I25" s="7"/>
    </row>
    <row r="26" spans="1:9" x14ac:dyDescent="0.3">
      <c r="A26" t="s">
        <v>35</v>
      </c>
      <c r="C26" s="3"/>
      <c r="D26" s="3"/>
      <c r="E26" s="3"/>
      <c r="F26" s="3"/>
      <c r="G26" s="4"/>
      <c r="H26" s="6">
        <f>G16/G25</f>
        <v>105.44759522549396</v>
      </c>
      <c r="I26" s="7">
        <f>1000/(G16/G25)</f>
        <v>9.4833836453221547</v>
      </c>
    </row>
    <row r="27" spans="1:9" x14ac:dyDescent="0.3">
      <c r="A27" t="s">
        <v>36</v>
      </c>
      <c r="C27" s="3"/>
      <c r="D27" s="3"/>
      <c r="E27" s="3"/>
      <c r="F27" s="3"/>
      <c r="G27" s="4"/>
      <c r="H27" s="6">
        <f>1000/I27</f>
        <v>99.926888134985589</v>
      </c>
      <c r="I27" s="7">
        <f>I26+(F19*I20)</f>
        <v>10.007316535757187</v>
      </c>
    </row>
    <row r="28" spans="1:9" x14ac:dyDescent="0.3">
      <c r="A28" s="1" t="s">
        <v>37</v>
      </c>
      <c r="C28" s="3"/>
      <c r="D28" s="3"/>
      <c r="E28" s="3"/>
      <c r="F28" s="3"/>
      <c r="G28" s="4"/>
      <c r="H28" s="9">
        <f>H27</f>
        <v>99.926888134985589</v>
      </c>
      <c r="I28" s="10">
        <f>I27</f>
        <v>10.007316535757187</v>
      </c>
    </row>
    <row r="29" spans="1:9" x14ac:dyDescent="0.3">
      <c r="A29" t="s">
        <v>38</v>
      </c>
      <c r="C29" s="3"/>
      <c r="D29" s="3"/>
      <c r="E29" s="3"/>
      <c r="F29" s="3"/>
      <c r="G29" s="4"/>
      <c r="H29" s="9"/>
      <c r="I29" s="10"/>
    </row>
    <row r="30" spans="1:9" x14ac:dyDescent="0.3">
      <c r="A30" t="s">
        <v>39</v>
      </c>
      <c r="C30" s="3"/>
      <c r="D30" s="3"/>
      <c r="E30" s="3"/>
      <c r="F30" s="3"/>
      <c r="G30" s="4"/>
      <c r="H30" s="9"/>
      <c r="I30" s="10"/>
    </row>
    <row r="31" spans="1:9" x14ac:dyDescent="0.3">
      <c r="C31" s="3"/>
      <c r="D31" s="3"/>
      <c r="E31" s="3"/>
      <c r="F31" s="3"/>
      <c r="G31" s="4"/>
      <c r="H31" s="6"/>
      <c r="I31" s="7"/>
    </row>
    <row r="32" spans="1:9" ht="28.8" x14ac:dyDescent="0.3">
      <c r="A32" s="11" t="s">
        <v>40</v>
      </c>
      <c r="B32" t="s">
        <v>41</v>
      </c>
      <c r="C32" s="3" t="s">
        <v>42</v>
      </c>
      <c r="D32" s="3" t="s">
        <v>43</v>
      </c>
      <c r="E32" s="3"/>
      <c r="F32" s="3"/>
      <c r="G32" s="4"/>
      <c r="H32" s="6"/>
      <c r="I32" s="7"/>
    </row>
    <row r="33" spans="1:11" x14ac:dyDescent="0.3">
      <c r="A33" s="1"/>
      <c r="B33" t="s">
        <v>44</v>
      </c>
      <c r="C33" s="3"/>
      <c r="D33" s="3"/>
      <c r="E33" s="3"/>
      <c r="F33" s="3"/>
      <c r="G33" s="4"/>
      <c r="H33" s="6"/>
      <c r="I33" s="7"/>
    </row>
    <row r="34" spans="1:11" ht="14.4" customHeight="1" x14ac:dyDescent="0.3">
      <c r="A34" s="12" t="s">
        <v>45</v>
      </c>
      <c r="B34" s="2">
        <v>1932</v>
      </c>
      <c r="C34" s="2">
        <v>1981.34</v>
      </c>
      <c r="D34" s="2">
        <v>3178.636</v>
      </c>
      <c r="E34" s="2"/>
      <c r="F34" s="3"/>
      <c r="G34" s="3">
        <f>D34-C34</f>
        <v>1197.296</v>
      </c>
      <c r="H34" s="6"/>
      <c r="I34" s="7"/>
    </row>
    <row r="35" spans="1:11" x14ac:dyDescent="0.3">
      <c r="A35" t="s">
        <v>16</v>
      </c>
      <c r="B35" s="3">
        <v>13.46</v>
      </c>
      <c r="C35" s="3"/>
      <c r="E35" s="3"/>
      <c r="F35" s="3"/>
      <c r="G35" s="3"/>
    </row>
    <row r="36" spans="1:11" x14ac:dyDescent="0.3">
      <c r="A36" t="s">
        <v>17</v>
      </c>
      <c r="B36" s="3">
        <v>5.0999999999999996</v>
      </c>
      <c r="C36" s="3"/>
      <c r="E36" s="3"/>
      <c r="F36" s="3"/>
      <c r="G36" s="3"/>
    </row>
    <row r="37" spans="1:11" x14ac:dyDescent="0.3">
      <c r="A37" t="s">
        <v>18</v>
      </c>
      <c r="B37" s="3">
        <v>0.59399999999999997</v>
      </c>
      <c r="C37" s="3"/>
      <c r="E37" s="3"/>
      <c r="F37" s="3"/>
      <c r="G37" s="3"/>
    </row>
    <row r="38" spans="1:11" x14ac:dyDescent="0.3">
      <c r="A38" t="s">
        <v>19</v>
      </c>
      <c r="B38" s="3">
        <v>0.66500000000000004</v>
      </c>
      <c r="C38" s="3"/>
      <c r="E38" s="3"/>
      <c r="F38" s="3"/>
      <c r="G38" s="3"/>
    </row>
    <row r="39" spans="1:11" x14ac:dyDescent="0.3">
      <c r="A39" t="s">
        <v>20</v>
      </c>
      <c r="B39" s="3">
        <f>SUM(B36:B38)</f>
        <v>6.359</v>
      </c>
      <c r="C39" s="3"/>
      <c r="E39" s="3"/>
      <c r="F39" s="3"/>
      <c r="G39" s="3"/>
    </row>
    <row r="40" spans="1:11" x14ac:dyDescent="0.3">
      <c r="A40" t="s">
        <v>46</v>
      </c>
      <c r="B40" s="3"/>
      <c r="C40" s="2"/>
      <c r="D40" s="2">
        <v>11.425000000000001</v>
      </c>
      <c r="E40" s="2"/>
      <c r="F40" s="3"/>
      <c r="G40" s="3"/>
    </row>
    <row r="41" spans="1:11" x14ac:dyDescent="0.3">
      <c r="A41" t="s">
        <v>21</v>
      </c>
      <c r="C41" s="3"/>
      <c r="D41" s="3"/>
      <c r="E41" s="3"/>
      <c r="F41" s="3"/>
      <c r="G41" s="4">
        <f>B39+B35-D40</f>
        <v>8.3940000000000019</v>
      </c>
      <c r="H41" s="5"/>
    </row>
    <row r="42" spans="1:11" ht="13.95" customHeight="1" x14ac:dyDescent="0.3">
      <c r="A42" t="s">
        <v>22</v>
      </c>
      <c r="D42" s="3"/>
      <c r="E42" s="3"/>
      <c r="F42" s="3"/>
      <c r="G42" s="4"/>
      <c r="H42" s="6">
        <f>G34/G41</f>
        <v>142.63712175363352</v>
      </c>
      <c r="I42" s="7">
        <f>1000/H42</f>
        <v>7.0107976640697052</v>
      </c>
    </row>
    <row r="43" spans="1:11" hidden="1" x14ac:dyDescent="0.3">
      <c r="A43" t="s">
        <v>47</v>
      </c>
      <c r="D43" s="3"/>
      <c r="E43" s="3"/>
      <c r="F43" s="3"/>
      <c r="G43" s="4">
        <v>934.42100000000005</v>
      </c>
      <c r="H43" s="5"/>
    </row>
    <row r="44" spans="1:11" hidden="1" x14ac:dyDescent="0.3">
      <c r="A44" t="s">
        <v>24</v>
      </c>
      <c r="D44" s="3"/>
      <c r="E44" s="3"/>
      <c r="F44" s="3"/>
      <c r="G44" s="4">
        <f>G43/H42</f>
        <v>6.5510365640576778</v>
      </c>
      <c r="H44" s="5"/>
      <c r="K44" s="13"/>
    </row>
    <row r="45" spans="1:11" hidden="1" x14ac:dyDescent="0.3">
      <c r="A45" t="s">
        <v>48</v>
      </c>
      <c r="D45" s="3"/>
      <c r="E45" s="3"/>
      <c r="F45" s="3"/>
      <c r="G45" s="4">
        <v>262.875</v>
      </c>
      <c r="H45" s="5"/>
    </row>
    <row r="46" spans="1:11" hidden="1" x14ac:dyDescent="0.3">
      <c r="A46" t="s">
        <v>26</v>
      </c>
      <c r="D46" s="3"/>
      <c r="E46" s="3"/>
      <c r="F46" s="3"/>
      <c r="G46" s="4">
        <f>G45/H42</f>
        <v>1.8429634359423237</v>
      </c>
      <c r="H46" s="5"/>
    </row>
    <row r="47" spans="1:11" hidden="1" x14ac:dyDescent="0.3">
      <c r="A47" t="s">
        <v>27</v>
      </c>
      <c r="D47" s="3"/>
      <c r="E47" s="3"/>
      <c r="F47" s="3"/>
      <c r="G47" s="4">
        <v>3000</v>
      </c>
      <c r="H47" s="5"/>
    </row>
    <row r="48" spans="1:11" hidden="1" x14ac:dyDescent="0.3">
      <c r="A48" t="s">
        <v>28</v>
      </c>
      <c r="D48" s="3"/>
      <c r="E48" s="3"/>
      <c r="F48" s="3">
        <f>DEGREES(ASIN(15.24/G47)*2)</f>
        <v>0.58212762364094162</v>
      </c>
      <c r="G48" s="4"/>
      <c r="H48" s="5"/>
    </row>
    <row r="49" spans="1:9" hidden="1" x14ac:dyDescent="0.3">
      <c r="A49" t="s">
        <v>29</v>
      </c>
      <c r="D49" s="3"/>
      <c r="E49" s="3"/>
      <c r="F49" s="3"/>
      <c r="G49" s="4"/>
      <c r="H49" s="5"/>
      <c r="I49">
        <v>0.3</v>
      </c>
    </row>
    <row r="50" spans="1:9" x14ac:dyDescent="0.3">
      <c r="A50" t="s">
        <v>30</v>
      </c>
      <c r="C50" s="3"/>
      <c r="D50" s="3"/>
      <c r="E50" s="3"/>
      <c r="F50" s="3"/>
      <c r="G50" s="4"/>
      <c r="H50" s="6">
        <f>1000/I50</f>
        <v>139.17040062660161</v>
      </c>
      <c r="I50" s="7">
        <f>I42+(F48*I49)</f>
        <v>7.1854359511619874</v>
      </c>
    </row>
    <row r="51" spans="1:9" hidden="1" x14ac:dyDescent="0.3">
      <c r="A51" t="s">
        <v>49</v>
      </c>
      <c r="C51" s="3"/>
      <c r="D51" s="3"/>
      <c r="E51" s="3"/>
      <c r="F51" s="3"/>
      <c r="G51" s="8">
        <v>3.5999999999999997E-2</v>
      </c>
      <c r="H51" s="6"/>
      <c r="I51" s="7"/>
    </row>
    <row r="52" spans="1:9" hidden="1" x14ac:dyDescent="0.3">
      <c r="A52" t="s">
        <v>32</v>
      </c>
      <c r="C52" s="3"/>
      <c r="D52" s="3"/>
      <c r="E52" s="3"/>
      <c r="F52" s="3"/>
      <c r="G52" s="4">
        <f>G44+G51</f>
        <v>6.5870365640576773</v>
      </c>
      <c r="H52" s="6"/>
      <c r="I52" s="7"/>
    </row>
    <row r="53" spans="1:9" x14ac:dyDescent="0.3">
      <c r="A53" s="1" t="s">
        <v>33</v>
      </c>
      <c r="C53" s="3"/>
      <c r="D53" s="3"/>
      <c r="E53" s="3"/>
      <c r="F53" s="3"/>
      <c r="H53" s="9">
        <f>G43/G52</f>
        <v>141.85756992737683</v>
      </c>
      <c r="I53" s="10">
        <f>1000/(G43/G52)</f>
        <v>7.0493241954725736</v>
      </c>
    </row>
    <row r="54" spans="1:9" hidden="1" x14ac:dyDescent="0.3">
      <c r="A54" t="s">
        <v>34</v>
      </c>
      <c r="C54" s="3"/>
      <c r="D54" s="3"/>
      <c r="E54" s="3"/>
      <c r="F54" s="3"/>
      <c r="G54" s="4">
        <f>G41-G52</f>
        <v>1.8069634359423246</v>
      </c>
      <c r="H54" s="6"/>
      <c r="I54" s="7"/>
    </row>
    <row r="55" spans="1:9" x14ac:dyDescent="0.3">
      <c r="A55" t="s">
        <v>35</v>
      </c>
      <c r="C55" s="3"/>
      <c r="D55" s="3"/>
      <c r="E55" s="3"/>
      <c r="F55" s="3"/>
      <c r="G55" s="4"/>
      <c r="H55" s="6">
        <f>G45/G54</f>
        <v>145.47887066841045</v>
      </c>
      <c r="I55" s="7">
        <f>1000/(G45/G54)</f>
        <v>6.8738504458100786</v>
      </c>
    </row>
    <row r="56" spans="1:9" x14ac:dyDescent="0.3">
      <c r="A56" t="s">
        <v>36</v>
      </c>
      <c r="C56" s="3"/>
      <c r="D56" s="3"/>
      <c r="E56" s="3"/>
      <c r="F56" s="3"/>
      <c r="G56" s="4"/>
      <c r="H56" s="6">
        <f>1000/I56</f>
        <v>141.87438440980941</v>
      </c>
      <c r="I56" s="7">
        <f>I55+(F48*I49)</f>
        <v>7.0484887329023609</v>
      </c>
    </row>
    <row r="57" spans="1:9" x14ac:dyDescent="0.3">
      <c r="A57" s="1" t="s">
        <v>37</v>
      </c>
      <c r="C57" s="3"/>
      <c r="D57" s="3"/>
      <c r="E57" s="3"/>
      <c r="F57" s="3"/>
      <c r="G57" s="4"/>
      <c r="H57" s="9">
        <f>H56</f>
        <v>141.87438440980941</v>
      </c>
      <c r="I57" s="10">
        <f>I56</f>
        <v>7.0484887329023609</v>
      </c>
    </row>
    <row r="58" spans="1:9" x14ac:dyDescent="0.3">
      <c r="A58" t="s">
        <v>50</v>
      </c>
      <c r="C58" s="3"/>
      <c r="D58" s="3"/>
      <c r="E58" s="3"/>
      <c r="F58" s="3"/>
    </row>
    <row r="59" spans="1:9" x14ac:dyDescent="0.3">
      <c r="D59" s="3"/>
      <c r="E59" s="3"/>
      <c r="F59" s="3"/>
    </row>
    <row r="60" spans="1:9" x14ac:dyDescent="0.3">
      <c r="C60" s="3"/>
      <c r="D60" s="3"/>
      <c r="E60" s="3"/>
      <c r="F60" s="3"/>
    </row>
    <row r="61" spans="1:9" x14ac:dyDescent="0.3">
      <c r="C61" s="3"/>
      <c r="D61" s="3"/>
      <c r="E61" s="3"/>
      <c r="F61" s="3"/>
    </row>
    <row r="64" spans="1:9" x14ac:dyDescent="0.3">
      <c r="C64" s="2"/>
      <c r="D64" s="2"/>
      <c r="E64" s="2"/>
      <c r="F64" s="2"/>
      <c r="G64" s="3"/>
    </row>
    <row r="65" spans="3:7" x14ac:dyDescent="0.3">
      <c r="C65" s="3"/>
      <c r="D65" s="3"/>
      <c r="E65" s="3"/>
      <c r="F65" s="3"/>
      <c r="G65" s="3"/>
    </row>
    <row r="66" spans="3:7" x14ac:dyDescent="0.3">
      <c r="C66" s="3"/>
      <c r="D66" s="3"/>
      <c r="E66" s="3"/>
      <c r="F66" s="3"/>
    </row>
    <row r="67" spans="3:7" x14ac:dyDescent="0.3">
      <c r="C67" s="3"/>
      <c r="D67" s="3"/>
      <c r="E67" s="3"/>
      <c r="F67" s="3"/>
    </row>
    <row r="68" spans="3:7" x14ac:dyDescent="0.3">
      <c r="C68" s="3"/>
      <c r="D68" s="3"/>
      <c r="E68" s="3"/>
      <c r="F68" s="3"/>
    </row>
    <row r="69" spans="3:7" x14ac:dyDescent="0.3">
      <c r="D69" s="3"/>
      <c r="E69" s="3"/>
      <c r="F69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EB57-C458-474C-9991-953C81E8EACD}">
  <dimension ref="A1:K68"/>
  <sheetViews>
    <sheetView workbookViewId="0">
      <selection activeCell="B30" sqref="B30"/>
    </sheetView>
  </sheetViews>
  <sheetFormatPr defaultRowHeight="14.4" x14ac:dyDescent="0.3"/>
  <cols>
    <col min="1" max="1" width="61.33203125" customWidth="1"/>
    <col min="2" max="2" width="30.21875" customWidth="1"/>
    <col min="3" max="3" width="20.6640625" customWidth="1"/>
    <col min="4" max="4" width="23.88671875" customWidth="1"/>
    <col min="5" max="5" width="4.5546875" customWidth="1"/>
    <col min="6" max="6" width="9.5546875" customWidth="1"/>
    <col min="7" max="7" width="11" customWidth="1"/>
    <col min="8" max="8" width="12.6640625" customWidth="1"/>
    <col min="9" max="9" width="11" customWidth="1"/>
    <col min="11" max="11" width="27" customWidth="1"/>
    <col min="12" max="12" width="17.44140625" customWidth="1"/>
  </cols>
  <sheetData>
    <row r="1" spans="1:9" ht="13.8" customHeight="1" x14ac:dyDescent="0.3">
      <c r="A1" s="1" t="s">
        <v>51</v>
      </c>
      <c r="B1" t="s">
        <v>52</v>
      </c>
      <c r="C1" t="s">
        <v>2</v>
      </c>
      <c r="D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ht="13.8" customHeight="1" x14ac:dyDescent="0.3">
      <c r="A2" s="1" t="s">
        <v>53</v>
      </c>
      <c r="B2" t="s">
        <v>9</v>
      </c>
      <c r="C2" t="s">
        <v>10</v>
      </c>
      <c r="D2" t="s">
        <v>11</v>
      </c>
    </row>
    <row r="3" spans="1:9" ht="28.8" x14ac:dyDescent="0.3">
      <c r="A3" s="14" t="s">
        <v>54</v>
      </c>
      <c r="B3" s="2">
        <v>27799</v>
      </c>
      <c r="C3" s="2">
        <f>27950+24</f>
        <v>27974</v>
      </c>
      <c r="D3" s="2">
        <v>28670.076000000001</v>
      </c>
      <c r="E3" s="2"/>
      <c r="F3" s="3"/>
      <c r="G3" s="3">
        <f>D3-C3</f>
        <v>696.07600000000093</v>
      </c>
    </row>
    <row r="4" spans="1:9" x14ac:dyDescent="0.3">
      <c r="A4" t="s">
        <v>13</v>
      </c>
      <c r="B4" s="3">
        <v>12.227</v>
      </c>
      <c r="C4" s="2"/>
      <c r="D4" s="2"/>
      <c r="E4" s="2"/>
      <c r="F4" s="3"/>
      <c r="G4" s="3"/>
    </row>
    <row r="5" spans="1:9" x14ac:dyDescent="0.3">
      <c r="A5" t="s">
        <v>55</v>
      </c>
      <c r="C5" s="3">
        <v>12.351000000000001</v>
      </c>
      <c r="D5" s="3"/>
      <c r="E5" s="3"/>
      <c r="F5" s="3"/>
      <c r="G5" s="3"/>
    </row>
    <row r="6" spans="1:9" x14ac:dyDescent="0.3">
      <c r="A6" t="s">
        <v>15</v>
      </c>
      <c r="C6" s="3">
        <v>4.8</v>
      </c>
      <c r="D6" s="3"/>
      <c r="E6" s="3"/>
      <c r="F6" s="3"/>
      <c r="G6" s="3"/>
    </row>
    <row r="7" spans="1:9" x14ac:dyDescent="0.3">
      <c r="A7" t="s">
        <v>16</v>
      </c>
      <c r="C7" s="3"/>
      <c r="D7" s="3">
        <v>13.46</v>
      </c>
      <c r="E7" s="3"/>
      <c r="F7" s="3"/>
      <c r="G7" s="3"/>
    </row>
    <row r="8" spans="1:9" x14ac:dyDescent="0.3">
      <c r="A8" t="s">
        <v>56</v>
      </c>
      <c r="C8" s="3"/>
      <c r="D8" s="3">
        <v>5.4</v>
      </c>
      <c r="E8" s="3"/>
      <c r="F8" s="3"/>
      <c r="G8" s="3"/>
    </row>
    <row r="9" spans="1:9" x14ac:dyDescent="0.3">
      <c r="A9" t="s">
        <v>57</v>
      </c>
      <c r="C9" s="3"/>
      <c r="D9" s="3">
        <v>0.9</v>
      </c>
      <c r="E9" s="3"/>
      <c r="F9" s="3"/>
      <c r="G9" s="3"/>
    </row>
    <row r="10" spans="1:9" x14ac:dyDescent="0.3">
      <c r="A10" t="s">
        <v>58</v>
      </c>
      <c r="C10" s="3"/>
      <c r="D10" s="3">
        <v>0.66800000000000004</v>
      </c>
      <c r="E10" s="3"/>
      <c r="F10" s="3"/>
      <c r="G10" s="3"/>
    </row>
    <row r="11" spans="1:9" x14ac:dyDescent="0.3">
      <c r="A11" t="s">
        <v>20</v>
      </c>
      <c r="C11" s="3"/>
      <c r="D11" s="3">
        <f>SUM(D8:D10)</f>
        <v>6.9680000000000009</v>
      </c>
      <c r="E11" s="3"/>
      <c r="F11" s="3"/>
      <c r="G11" s="3"/>
    </row>
    <row r="12" spans="1:9" x14ac:dyDescent="0.3">
      <c r="A12" t="s">
        <v>21</v>
      </c>
      <c r="C12" s="3"/>
      <c r="D12" s="3"/>
      <c r="E12" s="3"/>
      <c r="F12" s="3"/>
      <c r="G12" s="4">
        <f>D11+D7-C5</f>
        <v>8.077</v>
      </c>
      <c r="H12" s="5"/>
    </row>
    <row r="13" spans="1:9" x14ac:dyDescent="0.3">
      <c r="A13" t="s">
        <v>22</v>
      </c>
      <c r="D13" s="3"/>
      <c r="E13" s="3"/>
      <c r="F13" s="3"/>
      <c r="G13" s="4"/>
      <c r="H13" s="6">
        <f>G3/G12</f>
        <v>86.180017333168365</v>
      </c>
      <c r="I13" s="7">
        <f>1000/H13</f>
        <v>11.603617995736084</v>
      </c>
    </row>
    <row r="14" spans="1:9" x14ac:dyDescent="0.3">
      <c r="A14" t="s">
        <v>23</v>
      </c>
      <c r="D14" s="3"/>
      <c r="E14" s="3"/>
      <c r="F14" s="3"/>
      <c r="G14" s="4">
        <f>295.493-24</f>
        <v>271.49299999999999</v>
      </c>
      <c r="H14" s="5"/>
    </row>
    <row r="15" spans="1:9" x14ac:dyDescent="0.3">
      <c r="A15" t="s">
        <v>24</v>
      </c>
      <c r="D15" s="3"/>
      <c r="E15" s="3"/>
      <c r="F15" s="3"/>
      <c r="G15" s="4">
        <f>G14/H13</f>
        <v>3.1503010605163762</v>
      </c>
      <c r="H15" s="5"/>
    </row>
    <row r="16" spans="1:9" x14ac:dyDescent="0.3">
      <c r="A16" t="s">
        <v>25</v>
      </c>
      <c r="D16" s="3"/>
      <c r="E16" s="3"/>
      <c r="F16" s="3"/>
      <c r="G16" s="4">
        <v>424.58300000000003</v>
      </c>
      <c r="H16" s="5"/>
    </row>
    <row r="17" spans="1:9" x14ac:dyDescent="0.3">
      <c r="A17" t="s">
        <v>26</v>
      </c>
      <c r="D17" s="3"/>
      <c r="E17" s="3"/>
      <c r="F17" s="3"/>
      <c r="G17" s="4">
        <f>G16/H13</f>
        <v>4.9266989394836136</v>
      </c>
      <c r="H17" s="5"/>
    </row>
    <row r="18" spans="1:9" x14ac:dyDescent="0.3">
      <c r="A18" t="s">
        <v>27</v>
      </c>
      <c r="D18" s="3"/>
      <c r="E18" s="3"/>
      <c r="F18" s="3"/>
      <c r="G18" s="4">
        <v>900</v>
      </c>
      <c r="H18" s="5"/>
    </row>
    <row r="19" spans="1:9" x14ac:dyDescent="0.3">
      <c r="A19" t="s">
        <v>28</v>
      </c>
      <c r="D19" s="3"/>
      <c r="E19" s="3"/>
      <c r="F19" s="3">
        <f>DEGREES(ASIN(15.24/G18)*2)</f>
        <v>1.940509809956722</v>
      </c>
      <c r="G19" s="4"/>
      <c r="H19" s="5"/>
    </row>
    <row r="20" spans="1:9" x14ac:dyDescent="0.3">
      <c r="A20" t="s">
        <v>59</v>
      </c>
      <c r="D20" s="3"/>
      <c r="E20" s="3"/>
      <c r="F20" s="3"/>
      <c r="G20" s="4"/>
      <c r="H20" s="5"/>
      <c r="I20">
        <v>0.3</v>
      </c>
    </row>
    <row r="21" spans="1:9" x14ac:dyDescent="0.3">
      <c r="A21" t="s">
        <v>30</v>
      </c>
      <c r="C21" s="3"/>
      <c r="D21" s="3"/>
      <c r="E21" s="3"/>
      <c r="F21" s="3"/>
      <c r="G21" s="4"/>
      <c r="H21" s="6">
        <f>1000/I21</f>
        <v>82.062924457431663</v>
      </c>
      <c r="I21" s="7">
        <f>I13+(F19*I20)</f>
        <v>12.185770938723101</v>
      </c>
    </row>
    <row r="22" spans="1:9" x14ac:dyDescent="0.3">
      <c r="A22" t="s">
        <v>31</v>
      </c>
      <c r="C22" s="3"/>
      <c r="D22" s="3"/>
      <c r="E22" s="3"/>
      <c r="F22" s="3"/>
      <c r="G22" s="8">
        <v>9.6000000000000002E-2</v>
      </c>
      <c r="H22" s="6"/>
      <c r="I22" s="7"/>
    </row>
    <row r="23" spans="1:9" x14ac:dyDescent="0.3">
      <c r="A23" t="s">
        <v>32</v>
      </c>
      <c r="C23" s="3"/>
      <c r="D23" s="3"/>
      <c r="E23" s="3"/>
      <c r="F23" s="3"/>
      <c r="G23" s="4">
        <f>G15+G22</f>
        <v>3.2463010605163762</v>
      </c>
      <c r="H23" s="6"/>
      <c r="I23" s="7"/>
    </row>
    <row r="24" spans="1:9" x14ac:dyDescent="0.3">
      <c r="A24" s="1" t="s">
        <v>33</v>
      </c>
      <c r="C24" s="3"/>
      <c r="D24" s="3"/>
      <c r="E24" s="3"/>
      <c r="F24" s="3"/>
      <c r="H24" s="9">
        <f>G14/G23</f>
        <v>83.631491638922327</v>
      </c>
      <c r="I24" s="10">
        <f>1000/(G14/G23)</f>
        <v>11.957218272722965</v>
      </c>
    </row>
    <row r="25" spans="1:9" x14ac:dyDescent="0.3">
      <c r="A25" t="s">
        <v>34</v>
      </c>
      <c r="C25" s="3"/>
      <c r="D25" s="3"/>
      <c r="E25" s="3"/>
      <c r="F25" s="3"/>
      <c r="G25" s="4">
        <f>G12-G23</f>
        <v>4.8306989394836233</v>
      </c>
      <c r="H25" s="6"/>
      <c r="I25" s="7"/>
    </row>
    <row r="26" spans="1:9" x14ac:dyDescent="0.3">
      <c r="A26" t="s">
        <v>35</v>
      </c>
      <c r="B26" s="15"/>
      <c r="C26" s="3"/>
      <c r="D26" s="3"/>
      <c r="E26" s="3"/>
      <c r="F26" s="3"/>
      <c r="G26" s="4"/>
      <c r="H26" s="6">
        <f>G16/G25</f>
        <v>87.892664253961101</v>
      </c>
      <c r="I26" s="7">
        <f>1000/(G16/G25)</f>
        <v>11.377513794672945</v>
      </c>
    </row>
    <row r="27" spans="1:9" x14ac:dyDescent="0.3">
      <c r="A27" t="s">
        <v>36</v>
      </c>
      <c r="B27" s="15"/>
      <c r="C27" s="3"/>
      <c r="D27" s="3"/>
      <c r="E27" s="3"/>
      <c r="F27" s="3"/>
      <c r="G27" s="4"/>
      <c r="H27" s="6">
        <f>1000/I27</f>
        <v>83.61437002680735</v>
      </c>
      <c r="I27" s="7">
        <f>I26+(F19*I20)</f>
        <v>11.959666737659962</v>
      </c>
    </row>
    <row r="28" spans="1:9" x14ac:dyDescent="0.3">
      <c r="A28" s="1" t="s">
        <v>37</v>
      </c>
      <c r="B28" s="11"/>
      <c r="C28" s="3"/>
      <c r="D28" s="3"/>
      <c r="E28" s="3"/>
      <c r="F28" s="3"/>
      <c r="G28" s="4"/>
      <c r="H28" s="9">
        <f>H27</f>
        <v>83.61437002680735</v>
      </c>
      <c r="I28" s="10">
        <f>I27</f>
        <v>11.959666737659962</v>
      </c>
    </row>
    <row r="29" spans="1:9" x14ac:dyDescent="0.3">
      <c r="B29" s="16"/>
      <c r="C29" s="3"/>
      <c r="D29" s="3"/>
      <c r="E29" s="3"/>
      <c r="F29" s="3"/>
      <c r="G29" s="4"/>
      <c r="H29" s="9"/>
      <c r="I29" s="10"/>
    </row>
    <row r="30" spans="1:9" x14ac:dyDescent="0.3">
      <c r="A30" t="s">
        <v>60</v>
      </c>
      <c r="C30" s="3"/>
      <c r="D30" s="3"/>
      <c r="E30" s="3"/>
      <c r="F30" s="3"/>
      <c r="G30" s="4"/>
      <c r="H30" s="6"/>
      <c r="I30" s="7"/>
    </row>
    <row r="31" spans="1:9" ht="28.8" x14ac:dyDescent="0.3">
      <c r="A31" s="11" t="s">
        <v>40</v>
      </c>
      <c r="B31" t="s">
        <v>41</v>
      </c>
      <c r="C31" s="3" t="s">
        <v>42</v>
      </c>
      <c r="D31" s="3" t="s">
        <v>43</v>
      </c>
      <c r="E31" s="3"/>
      <c r="F31" s="3"/>
      <c r="G31" s="4"/>
      <c r="H31" s="6"/>
      <c r="I31" s="7"/>
    </row>
    <row r="32" spans="1:9" x14ac:dyDescent="0.3">
      <c r="A32" s="1"/>
      <c r="B32" t="s">
        <v>44</v>
      </c>
      <c r="C32" t="s">
        <v>10</v>
      </c>
      <c r="D32" t="s">
        <v>11</v>
      </c>
      <c r="E32" s="3"/>
      <c r="F32" s="3"/>
      <c r="G32" s="4"/>
      <c r="H32" s="6"/>
      <c r="I32" s="7"/>
    </row>
    <row r="33" spans="1:11" ht="28.8" x14ac:dyDescent="0.3">
      <c r="A33" s="12" t="s">
        <v>45</v>
      </c>
      <c r="B33" s="2">
        <v>28670.076000000001</v>
      </c>
      <c r="C33" s="2">
        <v>28735.341</v>
      </c>
      <c r="D33" s="2">
        <v>29904.213</v>
      </c>
      <c r="E33" s="2"/>
      <c r="F33" s="3"/>
      <c r="G33" s="3">
        <f>D33-C33</f>
        <v>1168.8719999999994</v>
      </c>
      <c r="H33" s="6"/>
      <c r="I33" s="7"/>
    </row>
    <row r="34" spans="1:11" x14ac:dyDescent="0.3">
      <c r="A34" t="s">
        <v>16</v>
      </c>
      <c r="B34" s="3">
        <v>13.46</v>
      </c>
      <c r="C34" s="3"/>
      <c r="E34" s="3"/>
      <c r="F34" s="3"/>
      <c r="G34" s="3"/>
    </row>
    <row r="35" spans="1:11" x14ac:dyDescent="0.3">
      <c r="A35" t="s">
        <v>61</v>
      </c>
      <c r="B35" s="3">
        <v>5.4</v>
      </c>
      <c r="C35" s="3"/>
      <c r="E35" s="3"/>
      <c r="F35" s="3"/>
      <c r="G35" s="3"/>
    </row>
    <row r="36" spans="1:11" x14ac:dyDescent="0.3">
      <c r="A36" t="s">
        <v>18</v>
      </c>
      <c r="B36" s="3">
        <v>0.9</v>
      </c>
      <c r="C36" s="3"/>
      <c r="E36" s="3"/>
      <c r="F36" s="3"/>
      <c r="G36" s="3"/>
    </row>
    <row r="37" spans="1:11" x14ac:dyDescent="0.3">
      <c r="A37" t="s">
        <v>19</v>
      </c>
      <c r="B37" s="3">
        <v>0.66800000000000004</v>
      </c>
      <c r="C37" s="3"/>
      <c r="E37" s="3"/>
      <c r="F37" s="3"/>
      <c r="G37" s="3"/>
    </row>
    <row r="38" spans="1:11" x14ac:dyDescent="0.3">
      <c r="A38" t="s">
        <v>20</v>
      </c>
      <c r="B38" s="3">
        <f>SUM(B35:B37)</f>
        <v>6.9680000000000009</v>
      </c>
      <c r="C38" s="3"/>
      <c r="E38" s="3"/>
      <c r="F38" s="3"/>
      <c r="G38" s="3"/>
    </row>
    <row r="39" spans="1:11" x14ac:dyDescent="0.3">
      <c r="A39" t="s">
        <v>46</v>
      </c>
      <c r="B39" s="3"/>
      <c r="C39" s="2"/>
      <c r="D39" s="2">
        <v>11.425000000000001</v>
      </c>
      <c r="E39" s="2"/>
      <c r="F39" s="3"/>
      <c r="G39" s="3"/>
    </row>
    <row r="40" spans="1:11" x14ac:dyDescent="0.3">
      <c r="A40" t="s">
        <v>21</v>
      </c>
      <c r="C40" s="3"/>
      <c r="D40" s="3"/>
      <c r="E40" s="3"/>
      <c r="F40" s="3"/>
      <c r="G40" s="4">
        <f>B38+B34-D39</f>
        <v>9.0030000000000001</v>
      </c>
      <c r="H40" s="5"/>
    </row>
    <row r="41" spans="1:11" ht="13.8" customHeight="1" x14ac:dyDescent="0.3">
      <c r="A41" t="s">
        <v>22</v>
      </c>
      <c r="D41" s="3"/>
      <c r="E41" s="3"/>
      <c r="F41" s="3"/>
      <c r="G41" s="4"/>
      <c r="H41" s="6">
        <f>G33/G40</f>
        <v>129.83138953682098</v>
      </c>
      <c r="I41" s="7">
        <f>1000/H41</f>
        <v>7.7022975997371876</v>
      </c>
    </row>
    <row r="42" spans="1:11" x14ac:dyDescent="0.3">
      <c r="A42" t="s">
        <v>62</v>
      </c>
      <c r="D42" s="3"/>
      <c r="E42" s="3"/>
      <c r="F42" s="3"/>
      <c r="G42" s="4">
        <v>677.47500000000002</v>
      </c>
      <c r="H42" s="5"/>
    </row>
    <row r="43" spans="1:11" x14ac:dyDescent="0.3">
      <c r="A43" t="s">
        <v>24</v>
      </c>
      <c r="D43" s="3"/>
      <c r="E43" s="3"/>
      <c r="F43" s="3"/>
      <c r="G43" s="4">
        <f>G42/H41</f>
        <v>5.2181140663819514</v>
      </c>
      <c r="H43" s="5"/>
      <c r="K43" s="13"/>
    </row>
    <row r="44" spans="1:11" x14ac:dyDescent="0.3">
      <c r="A44" t="s">
        <v>63</v>
      </c>
      <c r="D44" s="3"/>
      <c r="E44" s="3"/>
      <c r="F44" s="3"/>
      <c r="G44" s="4">
        <v>491.39699999999999</v>
      </c>
      <c r="H44" s="5"/>
    </row>
    <row r="45" spans="1:11" x14ac:dyDescent="0.3">
      <c r="A45" t="s">
        <v>26</v>
      </c>
      <c r="D45" s="3"/>
      <c r="E45" s="3"/>
      <c r="F45" s="3"/>
      <c r="G45" s="4">
        <f>G44/H41</f>
        <v>3.7848859336180545</v>
      </c>
      <c r="H45" s="5"/>
    </row>
    <row r="46" spans="1:11" x14ac:dyDescent="0.3">
      <c r="A46" t="s">
        <v>27</v>
      </c>
      <c r="D46" s="3"/>
      <c r="E46" s="3"/>
      <c r="F46" s="3"/>
      <c r="G46" s="4">
        <v>3000</v>
      </c>
      <c r="H46" s="5"/>
    </row>
    <row r="47" spans="1:11" x14ac:dyDescent="0.3">
      <c r="A47" t="s">
        <v>28</v>
      </c>
      <c r="D47" s="3"/>
      <c r="E47" s="3"/>
      <c r="F47" s="3">
        <f>DEGREES(ASIN(15.24/G46)*2)</f>
        <v>0.58212762364094162</v>
      </c>
      <c r="G47" s="4"/>
      <c r="H47" s="5"/>
    </row>
    <row r="48" spans="1:11" x14ac:dyDescent="0.3">
      <c r="A48" t="s">
        <v>29</v>
      </c>
      <c r="D48" s="3"/>
      <c r="E48" s="3"/>
      <c r="F48" s="3"/>
      <c r="G48" s="4"/>
      <c r="H48" s="5"/>
      <c r="I48">
        <v>0.3</v>
      </c>
    </row>
    <row r="49" spans="1:9" x14ac:dyDescent="0.3">
      <c r="A49" t="s">
        <v>30</v>
      </c>
      <c r="C49" s="3"/>
      <c r="D49" s="3"/>
      <c r="E49" s="3"/>
      <c r="F49" s="3"/>
      <c r="G49" s="4"/>
      <c r="H49" s="6">
        <f>1000/I49</f>
        <v>126.95291854184535</v>
      </c>
      <c r="I49" s="7">
        <f>I41+(F47*I48)</f>
        <v>7.8769358868294699</v>
      </c>
    </row>
    <row r="50" spans="1:9" x14ac:dyDescent="0.3">
      <c r="A50" t="s">
        <v>31</v>
      </c>
      <c r="C50" s="3"/>
      <c r="D50" s="3"/>
      <c r="E50" s="3"/>
      <c r="F50" s="3"/>
      <c r="G50" s="8">
        <v>0.05</v>
      </c>
      <c r="H50" s="6"/>
      <c r="I50" s="7"/>
    </row>
    <row r="51" spans="1:9" x14ac:dyDescent="0.3">
      <c r="A51" t="s">
        <v>32</v>
      </c>
      <c r="C51" s="3"/>
      <c r="D51" s="3"/>
      <c r="E51" s="3"/>
      <c r="F51" s="3"/>
      <c r="G51" s="4">
        <f>G43+G50</f>
        <v>5.2681140663819512</v>
      </c>
      <c r="H51" s="6"/>
      <c r="I51" s="7"/>
    </row>
    <row r="52" spans="1:9" x14ac:dyDescent="0.3">
      <c r="A52" s="1" t="s">
        <v>33</v>
      </c>
      <c r="C52" s="3"/>
      <c r="D52" s="3"/>
      <c r="E52" s="3"/>
      <c r="F52" s="3"/>
      <c r="H52" s="9">
        <f>G42/G51</f>
        <v>128.59915170084349</v>
      </c>
      <c r="I52" s="10">
        <f>1000/(G42/G51)</f>
        <v>7.776101061119526</v>
      </c>
    </row>
    <row r="53" spans="1:9" x14ac:dyDescent="0.3">
      <c r="A53" t="s">
        <v>34</v>
      </c>
      <c r="C53" s="3"/>
      <c r="D53" s="3"/>
      <c r="E53" s="3"/>
      <c r="F53" s="3"/>
      <c r="G53" s="4">
        <f>G40-G51</f>
        <v>3.7348859336180489</v>
      </c>
      <c r="H53" s="6"/>
      <c r="I53" s="7"/>
    </row>
    <row r="54" spans="1:9" x14ac:dyDescent="0.3">
      <c r="A54" t="s">
        <v>35</v>
      </c>
      <c r="C54" s="3"/>
      <c r="D54" s="3"/>
      <c r="E54" s="3"/>
      <c r="F54" s="3"/>
      <c r="G54" s="4"/>
      <c r="H54" s="6">
        <f>G44/G53</f>
        <v>131.56947996105873</v>
      </c>
      <c r="I54" s="7">
        <f>1000/(G44/G53)</f>
        <v>7.6005468767982887</v>
      </c>
    </row>
    <row r="55" spans="1:9" x14ac:dyDescent="0.3">
      <c r="A55" t="s">
        <v>36</v>
      </c>
      <c r="C55" s="3"/>
      <c r="D55" s="3"/>
      <c r="E55" s="3"/>
      <c r="F55" s="3"/>
      <c r="G55" s="4"/>
      <c r="H55" s="6">
        <f>1000/I55</f>
        <v>128.6143003570113</v>
      </c>
      <c r="I55" s="7">
        <f>I54+(F47*I48)</f>
        <v>7.7751851638905709</v>
      </c>
    </row>
    <row r="56" spans="1:9" x14ac:dyDescent="0.3">
      <c r="A56" s="1" t="s">
        <v>37</v>
      </c>
      <c r="C56" s="3"/>
      <c r="D56" s="3"/>
      <c r="E56" s="3"/>
      <c r="F56" s="3"/>
      <c r="G56" s="4"/>
      <c r="H56" s="9">
        <f>H55</f>
        <v>128.6143003570113</v>
      </c>
      <c r="I56" s="10">
        <f>I55</f>
        <v>7.7751851638905709</v>
      </c>
    </row>
    <row r="57" spans="1:9" x14ac:dyDescent="0.3">
      <c r="C57" s="3"/>
      <c r="D57" s="3"/>
      <c r="E57" s="3"/>
      <c r="F57" s="3"/>
    </row>
    <row r="58" spans="1:9" x14ac:dyDescent="0.3">
      <c r="D58" s="3"/>
      <c r="E58" s="3"/>
      <c r="F58" s="3"/>
    </row>
    <row r="59" spans="1:9" x14ac:dyDescent="0.3">
      <c r="C59" s="3"/>
      <c r="D59" s="3"/>
      <c r="E59" s="3"/>
      <c r="F59" s="3"/>
    </row>
    <row r="60" spans="1:9" x14ac:dyDescent="0.3">
      <c r="C60" s="3"/>
      <c r="D60" s="3"/>
      <c r="E60" s="3"/>
      <c r="F60" s="3"/>
    </row>
    <row r="63" spans="1:9" x14ac:dyDescent="0.3">
      <c r="C63" s="2"/>
      <c r="D63" s="2"/>
      <c r="E63" s="2"/>
      <c r="F63" s="2"/>
      <c r="G63" s="3"/>
    </row>
    <row r="64" spans="1:9" x14ac:dyDescent="0.3">
      <c r="C64" s="3"/>
      <c r="D64" s="3"/>
      <c r="E64" s="3"/>
      <c r="F64" s="3"/>
      <c r="G64" s="3"/>
    </row>
    <row r="65" spans="3:6" x14ac:dyDescent="0.3">
      <c r="C65" s="3"/>
      <c r="D65" s="3"/>
      <c r="E65" s="3"/>
      <c r="F65" s="3"/>
    </row>
    <row r="66" spans="3:6" x14ac:dyDescent="0.3">
      <c r="C66" s="3"/>
      <c r="D66" s="3"/>
      <c r="E66" s="3"/>
      <c r="F66" s="3"/>
    </row>
    <row r="67" spans="3:6" x14ac:dyDescent="0.3">
      <c r="C67" s="3"/>
      <c r="D67" s="3"/>
      <c r="E67" s="3"/>
      <c r="F67" s="3"/>
    </row>
    <row r="68" spans="3:6" x14ac:dyDescent="0.3">
      <c r="D68" s="3"/>
      <c r="E68" s="3"/>
      <c r="F68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692B-54E5-467D-8118-B6C2A82C2DCD}">
  <dimension ref="A1:K69"/>
  <sheetViews>
    <sheetView workbookViewId="0">
      <selection activeCell="C29" sqref="C29"/>
    </sheetView>
  </sheetViews>
  <sheetFormatPr defaultRowHeight="14.4" x14ac:dyDescent="0.3"/>
  <cols>
    <col min="1" max="1" width="88.88671875" customWidth="1"/>
    <col min="2" max="2" width="25.6640625" customWidth="1"/>
    <col min="3" max="3" width="20.6640625" customWidth="1"/>
    <col min="4" max="4" width="23.88671875" customWidth="1"/>
    <col min="5" max="5" width="4.5546875" customWidth="1"/>
    <col min="6" max="6" width="9.5546875" customWidth="1"/>
    <col min="7" max="7" width="11" customWidth="1"/>
    <col min="8" max="8" width="12.6640625" customWidth="1"/>
    <col min="9" max="9" width="11" customWidth="1"/>
    <col min="11" max="11" width="27" customWidth="1"/>
    <col min="12" max="12" width="17.44140625" customWidth="1"/>
  </cols>
  <sheetData>
    <row r="1" spans="1:9" ht="13.95" customHeight="1" x14ac:dyDescent="0.3">
      <c r="A1" s="1" t="s">
        <v>64</v>
      </c>
      <c r="B1" t="s">
        <v>52</v>
      </c>
      <c r="C1" t="s">
        <v>2</v>
      </c>
      <c r="D1" t="s">
        <v>3</v>
      </c>
      <c r="F1" t="s">
        <v>4</v>
      </c>
      <c r="G1" t="s">
        <v>65</v>
      </c>
      <c r="H1" t="s">
        <v>6</v>
      </c>
      <c r="I1" t="s">
        <v>7</v>
      </c>
    </row>
    <row r="2" spans="1:9" ht="13.95" customHeight="1" x14ac:dyDescent="0.3">
      <c r="A2" s="1" t="s">
        <v>66</v>
      </c>
    </row>
    <row r="3" spans="1:9" ht="13.95" customHeight="1" x14ac:dyDescent="0.3">
      <c r="A3" s="1" t="s">
        <v>8</v>
      </c>
      <c r="B3" t="s">
        <v>9</v>
      </c>
      <c r="C3" t="s">
        <v>10</v>
      </c>
      <c r="D3" t="s">
        <v>11</v>
      </c>
    </row>
    <row r="4" spans="1:9" x14ac:dyDescent="0.3">
      <c r="A4" t="s">
        <v>67</v>
      </c>
      <c r="B4" s="2">
        <v>27799</v>
      </c>
      <c r="C4" s="2">
        <f>27950-40</f>
        <v>27910</v>
      </c>
      <c r="D4" s="2">
        <v>28670.076000000001</v>
      </c>
      <c r="E4" s="2"/>
      <c r="F4" s="3"/>
      <c r="G4" s="3">
        <f>D4-C4</f>
        <v>760.07600000000093</v>
      </c>
    </row>
    <row r="5" spans="1:9" x14ac:dyDescent="0.3">
      <c r="A5" t="s">
        <v>13</v>
      </c>
      <c r="B5" s="3">
        <v>12.227</v>
      </c>
      <c r="C5" s="2"/>
      <c r="D5" s="2"/>
      <c r="E5" s="2"/>
      <c r="F5" s="3"/>
      <c r="G5" s="3"/>
    </row>
    <row r="6" spans="1:9" x14ac:dyDescent="0.3">
      <c r="A6" t="s">
        <v>55</v>
      </c>
      <c r="C6" s="3">
        <v>12.351000000000001</v>
      </c>
      <c r="D6" s="3"/>
      <c r="E6" s="3"/>
      <c r="F6" s="3"/>
      <c r="G6" s="3"/>
    </row>
    <row r="7" spans="1:9" x14ac:dyDescent="0.3">
      <c r="A7" t="s">
        <v>15</v>
      </c>
      <c r="C7" s="3">
        <v>4.8</v>
      </c>
      <c r="D7" s="3"/>
      <c r="E7" s="3"/>
      <c r="F7" s="3"/>
      <c r="G7" s="3"/>
    </row>
    <row r="8" spans="1:9" x14ac:dyDescent="0.3">
      <c r="A8" t="s">
        <v>16</v>
      </c>
      <c r="C8" s="3"/>
      <c r="D8" s="3">
        <v>13.46</v>
      </c>
      <c r="E8" s="3"/>
      <c r="F8" s="3"/>
      <c r="G8" s="3"/>
    </row>
    <row r="9" spans="1:9" x14ac:dyDescent="0.3">
      <c r="A9" t="s">
        <v>68</v>
      </c>
      <c r="C9" s="3"/>
      <c r="D9" s="3">
        <v>4.8</v>
      </c>
      <c r="E9" s="3"/>
      <c r="F9" s="3"/>
      <c r="G9" s="3"/>
    </row>
    <row r="10" spans="1:9" x14ac:dyDescent="0.3">
      <c r="A10" t="s">
        <v>69</v>
      </c>
      <c r="C10" s="3"/>
      <c r="D10" s="3">
        <v>0.8</v>
      </c>
      <c r="E10" s="3"/>
      <c r="F10" s="3"/>
      <c r="G10" s="3"/>
    </row>
    <row r="11" spans="1:9" x14ac:dyDescent="0.3">
      <c r="A11" t="s">
        <v>70</v>
      </c>
      <c r="C11" s="3"/>
      <c r="D11" s="3">
        <v>0.63</v>
      </c>
      <c r="E11" s="3"/>
      <c r="F11" s="3"/>
      <c r="G11" s="3"/>
    </row>
    <row r="12" spans="1:9" x14ac:dyDescent="0.3">
      <c r="A12" t="s">
        <v>20</v>
      </c>
      <c r="C12" s="3"/>
      <c r="D12" s="3">
        <f>SUM(D9:D11)</f>
        <v>6.2299999999999995</v>
      </c>
      <c r="E12" s="3"/>
      <c r="F12" s="3"/>
      <c r="G12" s="3"/>
    </row>
    <row r="13" spans="1:9" x14ac:dyDescent="0.3">
      <c r="A13" t="s">
        <v>21</v>
      </c>
      <c r="C13" s="3"/>
      <c r="D13" s="3"/>
      <c r="E13" s="3"/>
      <c r="F13" s="3"/>
      <c r="G13" s="4">
        <f>D12+D8-C6</f>
        <v>7.3390000000000004</v>
      </c>
      <c r="H13" s="5"/>
    </row>
    <row r="14" spans="1:9" x14ac:dyDescent="0.3">
      <c r="A14" t="s">
        <v>22</v>
      </c>
      <c r="D14" s="3"/>
      <c r="E14" s="3"/>
      <c r="F14" s="3"/>
      <c r="G14" s="4"/>
      <c r="H14" s="6">
        <f>G4/G13</f>
        <v>103.56669846028082</v>
      </c>
      <c r="I14" s="7">
        <f>1000/H14</f>
        <v>9.6556133860298061</v>
      </c>
    </row>
    <row r="15" spans="1:9" x14ac:dyDescent="0.3">
      <c r="A15" t="s">
        <v>71</v>
      </c>
      <c r="D15" s="3"/>
      <c r="E15" s="3"/>
      <c r="F15" s="3"/>
      <c r="G15" s="4">
        <f>295.493-24+64</f>
        <v>335.49299999999999</v>
      </c>
      <c r="H15" s="5"/>
    </row>
    <row r="16" spans="1:9" x14ac:dyDescent="0.3">
      <c r="A16" t="s">
        <v>24</v>
      </c>
      <c r="D16" s="3"/>
      <c r="E16" s="3"/>
      <c r="F16" s="3"/>
      <c r="G16" s="4">
        <f>G15/H14</f>
        <v>3.2393907017192975</v>
      </c>
      <c r="H16" s="5"/>
    </row>
    <row r="17" spans="1:9" x14ac:dyDescent="0.3">
      <c r="A17" t="s">
        <v>25</v>
      </c>
      <c r="D17" s="3"/>
      <c r="E17" s="3"/>
      <c r="F17" s="3"/>
      <c r="G17" s="4">
        <v>424.58300000000003</v>
      </c>
      <c r="H17" s="5"/>
    </row>
    <row r="18" spans="1:9" x14ac:dyDescent="0.3">
      <c r="A18" t="s">
        <v>26</v>
      </c>
      <c r="D18" s="3"/>
      <c r="E18" s="3"/>
      <c r="F18" s="3"/>
      <c r="G18" s="4">
        <f>G17/H14</f>
        <v>4.0996092982806935</v>
      </c>
      <c r="H18" s="5"/>
    </row>
    <row r="19" spans="1:9" x14ac:dyDescent="0.3">
      <c r="A19" t="s">
        <v>27</v>
      </c>
      <c r="D19" s="3"/>
      <c r="E19" s="3"/>
      <c r="F19" s="3"/>
      <c r="G19" s="4">
        <v>950</v>
      </c>
      <c r="H19" s="5"/>
    </row>
    <row r="20" spans="1:9" x14ac:dyDescent="0.3">
      <c r="A20" t="s">
        <v>28</v>
      </c>
      <c r="D20" s="3"/>
      <c r="E20" s="3"/>
      <c r="F20" s="3">
        <f>DEGREES(ASIN(15.24/G19)*2)</f>
        <v>1.838368708352031</v>
      </c>
      <c r="G20" s="4"/>
      <c r="H20" s="5"/>
    </row>
    <row r="21" spans="1:9" x14ac:dyDescent="0.3">
      <c r="A21" t="s">
        <v>59</v>
      </c>
      <c r="D21" s="3"/>
      <c r="E21" s="3"/>
      <c r="F21" s="3"/>
      <c r="G21" s="4"/>
      <c r="H21" s="5"/>
      <c r="I21">
        <v>0.3</v>
      </c>
    </row>
    <row r="22" spans="1:9" x14ac:dyDescent="0.3">
      <c r="A22" t="s">
        <v>30</v>
      </c>
      <c r="C22" s="3"/>
      <c r="D22" s="3"/>
      <c r="E22" s="3"/>
      <c r="F22" s="3"/>
      <c r="G22" s="4"/>
      <c r="H22" s="6">
        <f>1000/I22</f>
        <v>97.970789827133132</v>
      </c>
      <c r="I22" s="7">
        <f>I14+(F20*I21)</f>
        <v>10.207123998535415</v>
      </c>
    </row>
    <row r="23" spans="1:9" x14ac:dyDescent="0.3">
      <c r="A23" t="s">
        <v>31</v>
      </c>
      <c r="C23" s="3"/>
      <c r="D23" s="3"/>
      <c r="E23" s="3"/>
      <c r="F23" s="3"/>
      <c r="G23" s="8">
        <v>0.106</v>
      </c>
      <c r="H23" s="6"/>
      <c r="I23" s="7"/>
    </row>
    <row r="24" spans="1:9" x14ac:dyDescent="0.3">
      <c r="A24" t="s">
        <v>32</v>
      </c>
      <c r="C24" s="3"/>
      <c r="D24" s="3"/>
      <c r="E24" s="3"/>
      <c r="F24" s="3"/>
      <c r="G24" s="4">
        <f>G16+G23</f>
        <v>3.3453907017192974</v>
      </c>
      <c r="H24" s="6"/>
      <c r="I24" s="7"/>
    </row>
    <row r="25" spans="1:9" x14ac:dyDescent="0.3">
      <c r="A25" s="1" t="s">
        <v>33</v>
      </c>
      <c r="C25" s="3"/>
      <c r="D25" s="3"/>
      <c r="E25" s="3"/>
      <c r="F25" s="3"/>
      <c r="H25" s="9">
        <f>G15/G24</f>
        <v>100.28514750984989</v>
      </c>
      <c r="I25" s="10">
        <f>1000/(G15/G24)</f>
        <v>9.9715663269257409</v>
      </c>
    </row>
    <row r="26" spans="1:9" x14ac:dyDescent="0.3">
      <c r="A26" t="s">
        <v>34</v>
      </c>
      <c r="C26" s="3"/>
      <c r="D26" s="3"/>
      <c r="E26" s="3"/>
      <c r="F26" s="3"/>
      <c r="G26" s="4">
        <f>G13-G24</f>
        <v>3.993609298280703</v>
      </c>
      <c r="H26" s="6"/>
      <c r="I26" s="7"/>
    </row>
    <row r="27" spans="1:9" x14ac:dyDescent="0.3">
      <c r="A27" t="s">
        <v>35</v>
      </c>
      <c r="C27" s="3"/>
      <c r="D27" s="3"/>
      <c r="E27" s="3"/>
      <c r="F27" s="3"/>
      <c r="G27" s="4"/>
      <c r="H27" s="6">
        <f>G17/G26</f>
        <v>106.31560783444392</v>
      </c>
      <c r="I27" s="7">
        <f>1000/(G17/G26)</f>
        <v>9.4059566640225896</v>
      </c>
    </row>
    <row r="28" spans="1:9" x14ac:dyDescent="0.3">
      <c r="A28" t="s">
        <v>36</v>
      </c>
      <c r="C28" s="3"/>
      <c r="D28" s="3"/>
      <c r="E28" s="3"/>
      <c r="F28" s="3"/>
      <c r="G28" s="4"/>
      <c r="H28" s="6">
        <f>1000/I28</f>
        <v>100.42714399445791</v>
      </c>
      <c r="I28" s="7">
        <f>I27+(F20*I21)</f>
        <v>9.9574672765281989</v>
      </c>
    </row>
    <row r="29" spans="1:9" x14ac:dyDescent="0.3">
      <c r="A29" s="1" t="s">
        <v>37</v>
      </c>
      <c r="C29" s="3"/>
      <c r="D29" s="3"/>
      <c r="E29" s="3"/>
      <c r="F29" s="3"/>
      <c r="G29" s="4"/>
      <c r="H29" s="9">
        <f>H28</f>
        <v>100.42714399445791</v>
      </c>
      <c r="I29" s="10">
        <f>I28</f>
        <v>9.9574672765281989</v>
      </c>
    </row>
    <row r="30" spans="1:9" x14ac:dyDescent="0.3">
      <c r="C30" s="3"/>
      <c r="D30" s="3"/>
      <c r="E30" s="3"/>
      <c r="F30" s="3"/>
      <c r="G30" s="4"/>
      <c r="H30" s="9"/>
      <c r="I30" s="10"/>
    </row>
    <row r="31" spans="1:9" x14ac:dyDescent="0.3">
      <c r="B31" s="14"/>
      <c r="C31" s="17"/>
      <c r="D31" s="17"/>
      <c r="E31" s="3"/>
      <c r="F31" s="3"/>
      <c r="G31" s="4"/>
      <c r="H31" s="6"/>
      <c r="I31" s="7"/>
    </row>
    <row r="32" spans="1:9" ht="28.8" x14ac:dyDescent="0.3">
      <c r="A32" s="11" t="s">
        <v>40</v>
      </c>
      <c r="B32" s="14" t="s">
        <v>41</v>
      </c>
      <c r="C32" s="17" t="s">
        <v>42</v>
      </c>
      <c r="D32" s="17" t="s">
        <v>43</v>
      </c>
      <c r="E32" s="3"/>
      <c r="F32" s="3"/>
      <c r="G32" s="4"/>
      <c r="H32" s="6"/>
      <c r="I32" s="7"/>
    </row>
    <row r="33" spans="1:11" x14ac:dyDescent="0.3">
      <c r="A33" s="1"/>
      <c r="B33" t="s">
        <v>44</v>
      </c>
      <c r="C33" s="3"/>
      <c r="D33" s="3"/>
      <c r="E33" s="3"/>
      <c r="F33" s="3"/>
      <c r="G33" s="4"/>
      <c r="H33" s="6"/>
      <c r="I33" s="7"/>
    </row>
    <row r="34" spans="1:11" x14ac:dyDescent="0.3">
      <c r="A34" s="12" t="s">
        <v>45</v>
      </c>
      <c r="B34" s="2">
        <v>1932</v>
      </c>
      <c r="C34" s="2">
        <v>1981.34</v>
      </c>
      <c r="D34" s="2">
        <v>3178.636</v>
      </c>
      <c r="E34" s="2"/>
      <c r="F34" s="3"/>
      <c r="G34" s="3">
        <f>D34-C34</f>
        <v>1197.296</v>
      </c>
      <c r="H34" s="6"/>
      <c r="I34" s="7"/>
    </row>
    <row r="35" spans="1:11" x14ac:dyDescent="0.3">
      <c r="A35" t="s">
        <v>16</v>
      </c>
      <c r="B35" s="3">
        <v>13.46</v>
      </c>
      <c r="C35" s="3"/>
      <c r="E35" s="3"/>
      <c r="F35" s="3"/>
      <c r="G35" s="3"/>
    </row>
    <row r="36" spans="1:11" x14ac:dyDescent="0.3">
      <c r="A36" t="s">
        <v>17</v>
      </c>
      <c r="B36" s="3">
        <v>5.0999999999999996</v>
      </c>
      <c r="C36" s="3"/>
      <c r="E36" s="3"/>
      <c r="F36" s="3"/>
      <c r="G36" s="3"/>
    </row>
    <row r="37" spans="1:11" x14ac:dyDescent="0.3">
      <c r="A37" t="s">
        <v>18</v>
      </c>
      <c r="B37" s="3">
        <v>0.59399999999999997</v>
      </c>
      <c r="C37" s="3"/>
      <c r="E37" s="3"/>
      <c r="F37" s="3"/>
      <c r="G37" s="3"/>
    </row>
    <row r="38" spans="1:11" x14ac:dyDescent="0.3">
      <c r="A38" t="s">
        <v>19</v>
      </c>
      <c r="B38" s="3">
        <v>0.66500000000000004</v>
      </c>
      <c r="C38" s="3"/>
      <c r="E38" s="3"/>
      <c r="F38" s="3"/>
      <c r="G38" s="3"/>
    </row>
    <row r="39" spans="1:11" x14ac:dyDescent="0.3">
      <c r="A39" t="s">
        <v>20</v>
      </c>
      <c r="B39" s="3">
        <f>SUM(B36:B38)</f>
        <v>6.359</v>
      </c>
      <c r="C39" s="3"/>
      <c r="E39" s="3"/>
      <c r="F39" s="3"/>
      <c r="G39" s="3"/>
    </row>
    <row r="40" spans="1:11" x14ac:dyDescent="0.3">
      <c r="A40" t="s">
        <v>46</v>
      </c>
      <c r="B40" s="3"/>
      <c r="C40" s="2"/>
      <c r="D40" s="2">
        <v>11.425000000000001</v>
      </c>
      <c r="E40" s="2"/>
      <c r="F40" s="3"/>
      <c r="G40" s="3"/>
    </row>
    <row r="41" spans="1:11" x14ac:dyDescent="0.3">
      <c r="A41" t="s">
        <v>21</v>
      </c>
      <c r="C41" s="3"/>
      <c r="D41" s="3"/>
      <c r="E41" s="3"/>
      <c r="F41" s="3"/>
      <c r="G41" s="4">
        <f>B39+B35-D40</f>
        <v>8.3940000000000019</v>
      </c>
      <c r="H41" s="5"/>
    </row>
    <row r="42" spans="1:11" ht="13.95" customHeight="1" x14ac:dyDescent="0.3">
      <c r="A42" t="s">
        <v>22</v>
      </c>
      <c r="D42" s="3"/>
      <c r="E42" s="3"/>
      <c r="F42" s="3"/>
      <c r="G42" s="4"/>
      <c r="H42" s="6">
        <f>G34/G41</f>
        <v>142.63712175363352</v>
      </c>
      <c r="I42" s="7">
        <f>1000/H42</f>
        <v>7.0107976640697052</v>
      </c>
    </row>
    <row r="43" spans="1:11" x14ac:dyDescent="0.3">
      <c r="A43" t="s">
        <v>47</v>
      </c>
      <c r="D43" s="3"/>
      <c r="E43" s="3"/>
      <c r="F43" s="3"/>
      <c r="G43" s="4">
        <v>933.92100000000005</v>
      </c>
      <c r="H43" s="5"/>
    </row>
    <row r="44" spans="1:11" x14ac:dyDescent="0.3">
      <c r="A44" t="s">
        <v>24</v>
      </c>
      <c r="D44" s="3"/>
      <c r="E44" s="3"/>
      <c r="F44" s="3"/>
      <c r="G44" s="4">
        <f>G43/H42</f>
        <v>6.5475311652256432</v>
      </c>
      <c r="H44" s="5"/>
      <c r="K44" s="13"/>
    </row>
    <row r="45" spans="1:11" x14ac:dyDescent="0.3">
      <c r="A45" t="s">
        <v>48</v>
      </c>
      <c r="D45" s="3"/>
      <c r="E45" s="3"/>
      <c r="F45" s="3"/>
      <c r="G45" s="4">
        <v>262.875</v>
      </c>
      <c r="H45" s="5"/>
    </row>
    <row r="46" spans="1:11" x14ac:dyDescent="0.3">
      <c r="A46" t="s">
        <v>26</v>
      </c>
      <c r="D46" s="3"/>
      <c r="E46" s="3"/>
      <c r="F46" s="3"/>
      <c r="G46" s="4">
        <f>G45/H42</f>
        <v>1.8429634359423237</v>
      </c>
      <c r="H46" s="5"/>
    </row>
    <row r="47" spans="1:11" x14ac:dyDescent="0.3">
      <c r="A47" t="s">
        <v>27</v>
      </c>
      <c r="D47" s="3"/>
      <c r="E47" s="3"/>
      <c r="F47" s="3"/>
      <c r="G47" s="4">
        <v>3000</v>
      </c>
      <c r="H47" s="5"/>
    </row>
    <row r="48" spans="1:11" x14ac:dyDescent="0.3">
      <c r="A48" t="s">
        <v>28</v>
      </c>
      <c r="D48" s="3"/>
      <c r="E48" s="3"/>
      <c r="F48" s="3">
        <f>DEGREES(ASIN(15.24/G47)*2)</f>
        <v>0.58212762364094162</v>
      </c>
      <c r="G48" s="4"/>
      <c r="H48" s="5"/>
    </row>
    <row r="49" spans="1:9" x14ac:dyDescent="0.3">
      <c r="A49" t="s">
        <v>29</v>
      </c>
      <c r="D49" s="3"/>
      <c r="E49" s="3"/>
      <c r="F49" s="3"/>
      <c r="G49" s="4"/>
      <c r="H49" s="5"/>
      <c r="I49">
        <v>0.3</v>
      </c>
    </row>
    <row r="50" spans="1:9" x14ac:dyDescent="0.3">
      <c r="A50" t="s">
        <v>30</v>
      </c>
      <c r="C50" s="3"/>
      <c r="D50" s="3"/>
      <c r="E50" s="3"/>
      <c r="F50" s="3"/>
      <c r="G50" s="4"/>
      <c r="H50" s="6">
        <f>1000/I50</f>
        <v>139.17040062660161</v>
      </c>
      <c r="I50" s="7">
        <f>I42+(F48*I49)</f>
        <v>7.1854359511619874</v>
      </c>
    </row>
    <row r="51" spans="1:9" x14ac:dyDescent="0.3">
      <c r="A51" t="s">
        <v>31</v>
      </c>
      <c r="C51" s="3"/>
      <c r="D51" s="3"/>
      <c r="E51" s="3"/>
      <c r="F51" s="3"/>
      <c r="G51" s="8">
        <v>3.7999999999999999E-2</v>
      </c>
      <c r="H51" s="6"/>
      <c r="I51" s="7"/>
    </row>
    <row r="52" spans="1:9" x14ac:dyDescent="0.3">
      <c r="A52" t="s">
        <v>32</v>
      </c>
      <c r="C52" s="3"/>
      <c r="D52" s="3"/>
      <c r="E52" s="3"/>
      <c r="F52" s="3"/>
      <c r="G52" s="4">
        <f>G44+G51</f>
        <v>6.5855311652256434</v>
      </c>
      <c r="H52" s="6"/>
      <c r="I52" s="7"/>
    </row>
    <row r="53" spans="1:9" x14ac:dyDescent="0.3">
      <c r="A53" s="1" t="s">
        <v>33</v>
      </c>
      <c r="C53" s="3"/>
      <c r="D53" s="3"/>
      <c r="E53" s="3"/>
      <c r="F53" s="3"/>
      <c r="H53" s="9">
        <f>G43/G52</f>
        <v>141.81407339342545</v>
      </c>
      <c r="I53" s="10">
        <f>1000/(G43/G52)</f>
        <v>7.0514863304558348</v>
      </c>
    </row>
    <row r="54" spans="1:9" x14ac:dyDescent="0.3">
      <c r="A54" t="s">
        <v>34</v>
      </c>
      <c r="C54" s="3"/>
      <c r="D54" s="3"/>
      <c r="E54" s="3"/>
      <c r="F54" s="3"/>
      <c r="G54" s="4">
        <f>G41-G52</f>
        <v>1.8084688347743585</v>
      </c>
      <c r="H54" s="6"/>
      <c r="I54" s="7"/>
    </row>
    <row r="55" spans="1:9" x14ac:dyDescent="0.3">
      <c r="A55" t="s">
        <v>35</v>
      </c>
      <c r="C55" s="3"/>
      <c r="D55" s="3"/>
      <c r="E55" s="3"/>
      <c r="F55" s="3"/>
      <c r="G55" s="4"/>
      <c r="H55" s="6">
        <f>G45/G54</f>
        <v>145.35777169353253</v>
      </c>
      <c r="I55" s="7">
        <f>1000/(G45/G54)</f>
        <v>6.8795771175439224</v>
      </c>
    </row>
    <row r="56" spans="1:9" x14ac:dyDescent="0.3">
      <c r="A56" t="s">
        <v>36</v>
      </c>
      <c r="C56" s="3"/>
      <c r="D56" s="3"/>
      <c r="E56" s="3"/>
      <c r="F56" s="3"/>
      <c r="G56" s="4"/>
      <c r="H56" s="6">
        <f>1000/I56</f>
        <v>141.75920958449544</v>
      </c>
      <c r="I56" s="7">
        <f>I55+(F48*I49)</f>
        <v>7.0542154046362047</v>
      </c>
    </row>
    <row r="57" spans="1:9" x14ac:dyDescent="0.3">
      <c r="A57" s="1" t="s">
        <v>37</v>
      </c>
      <c r="C57" s="3"/>
      <c r="D57" s="3"/>
      <c r="E57" s="3"/>
      <c r="F57" s="3"/>
      <c r="G57" s="4"/>
      <c r="H57" s="9">
        <f>H56</f>
        <v>141.75920958449544</v>
      </c>
      <c r="I57" s="10">
        <f>I56</f>
        <v>7.0542154046362047</v>
      </c>
    </row>
    <row r="58" spans="1:9" x14ac:dyDescent="0.3">
      <c r="C58" s="3"/>
      <c r="D58" s="3"/>
      <c r="E58" s="3"/>
      <c r="F58" s="3"/>
    </row>
    <row r="59" spans="1:9" x14ac:dyDescent="0.3">
      <c r="D59" s="3"/>
      <c r="E59" s="3"/>
      <c r="F59" s="3"/>
    </row>
    <row r="60" spans="1:9" x14ac:dyDescent="0.3">
      <c r="C60" s="3"/>
      <c r="D60" s="3"/>
      <c r="E60" s="3"/>
      <c r="F60" s="3"/>
    </row>
    <row r="61" spans="1:9" x14ac:dyDescent="0.3">
      <c r="C61" s="3"/>
      <c r="D61" s="3"/>
      <c r="E61" s="3"/>
      <c r="F61" s="3"/>
    </row>
    <row r="64" spans="1:9" x14ac:dyDescent="0.3">
      <c r="C64" s="2"/>
      <c r="D64" s="2"/>
      <c r="E64" s="2"/>
      <c r="F64" s="2"/>
      <c r="G64" s="3"/>
    </row>
    <row r="65" spans="3:7" x14ac:dyDescent="0.3">
      <c r="C65" s="3"/>
      <c r="D65" s="3"/>
      <c r="E65" s="3"/>
      <c r="F65" s="3"/>
      <c r="G65" s="3"/>
    </row>
    <row r="66" spans="3:7" x14ac:dyDescent="0.3">
      <c r="C66" s="3"/>
      <c r="D66" s="3"/>
      <c r="E66" s="3"/>
      <c r="F66" s="3"/>
    </row>
    <row r="67" spans="3:7" x14ac:dyDescent="0.3">
      <c r="C67" s="3"/>
      <c r="D67" s="3"/>
      <c r="E67" s="3"/>
      <c r="F67" s="3"/>
    </row>
    <row r="68" spans="3:7" x14ac:dyDescent="0.3">
      <c r="C68" s="3"/>
      <c r="D68" s="3"/>
      <c r="E68" s="3"/>
      <c r="F68" s="3"/>
    </row>
    <row r="69" spans="3:7" x14ac:dyDescent="0.3">
      <c r="D69" s="3"/>
      <c r="E69" s="3"/>
      <c r="F69" s="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214D-26BD-4995-8861-03D67ACE915E}">
  <dimension ref="A1:K69"/>
  <sheetViews>
    <sheetView topLeftCell="A25" workbookViewId="0">
      <selection activeCell="B45" sqref="B45"/>
    </sheetView>
  </sheetViews>
  <sheetFormatPr defaultRowHeight="14.4" x14ac:dyDescent="0.3"/>
  <cols>
    <col min="1" max="1" width="88.88671875" customWidth="1"/>
    <col min="2" max="2" width="25.6640625" customWidth="1"/>
    <col min="3" max="3" width="20.6640625" customWidth="1"/>
    <col min="4" max="4" width="23.88671875" customWidth="1"/>
    <col min="5" max="5" width="4.5546875" customWidth="1"/>
    <col min="6" max="6" width="9.5546875" customWidth="1"/>
    <col min="7" max="7" width="11" customWidth="1"/>
    <col min="8" max="8" width="12.6640625" customWidth="1"/>
    <col min="9" max="9" width="11" customWidth="1"/>
    <col min="11" max="11" width="27" customWidth="1"/>
    <col min="12" max="12" width="17.44140625" customWidth="1"/>
  </cols>
  <sheetData>
    <row r="1" spans="1:9" ht="13.95" customHeight="1" x14ac:dyDescent="0.3">
      <c r="A1" s="1" t="s">
        <v>64</v>
      </c>
      <c r="B1" t="s">
        <v>52</v>
      </c>
      <c r="C1" t="s">
        <v>2</v>
      </c>
      <c r="D1" t="s">
        <v>3</v>
      </c>
      <c r="F1" t="s">
        <v>4</v>
      </c>
      <c r="G1" t="s">
        <v>65</v>
      </c>
      <c r="H1" t="s">
        <v>6</v>
      </c>
      <c r="I1" t="s">
        <v>7</v>
      </c>
    </row>
    <row r="2" spans="1:9" ht="13.95" customHeight="1" x14ac:dyDescent="0.3">
      <c r="A2" s="1" t="s">
        <v>72</v>
      </c>
    </row>
    <row r="3" spans="1:9" ht="13.95" customHeight="1" x14ac:dyDescent="0.3">
      <c r="A3" s="1" t="s">
        <v>8</v>
      </c>
      <c r="B3" t="s">
        <v>9</v>
      </c>
      <c r="C3" t="s">
        <v>10</v>
      </c>
      <c r="D3" t="s">
        <v>11</v>
      </c>
    </row>
    <row r="4" spans="1:9" x14ac:dyDescent="0.3">
      <c r="A4" t="s">
        <v>67</v>
      </c>
      <c r="B4" s="2">
        <v>27799</v>
      </c>
      <c r="C4" s="2">
        <f>27950-40</f>
        <v>27910</v>
      </c>
      <c r="D4" s="2">
        <v>28670.076000000001</v>
      </c>
      <c r="E4" s="2"/>
      <c r="F4" s="3"/>
      <c r="G4" s="3">
        <f>D4-C4</f>
        <v>760.07600000000093</v>
      </c>
    </row>
    <row r="5" spans="1:9" x14ac:dyDescent="0.3">
      <c r="A5" t="s">
        <v>73</v>
      </c>
      <c r="B5" s="3">
        <v>12.227</v>
      </c>
      <c r="C5" s="2"/>
      <c r="D5" s="2"/>
      <c r="E5" s="2"/>
      <c r="F5" s="3"/>
      <c r="G5" s="3"/>
    </row>
    <row r="6" spans="1:9" x14ac:dyDescent="0.3">
      <c r="A6" t="s">
        <v>55</v>
      </c>
      <c r="C6" s="3">
        <v>12.351000000000001</v>
      </c>
      <c r="D6" s="3"/>
      <c r="E6" s="3"/>
      <c r="F6" s="3"/>
      <c r="G6" s="3"/>
    </row>
    <row r="7" spans="1:9" x14ac:dyDescent="0.3">
      <c r="A7" t="s">
        <v>15</v>
      </c>
      <c r="C7" s="3">
        <v>4.8</v>
      </c>
      <c r="D7" s="3"/>
      <c r="E7" s="3"/>
      <c r="F7" s="3"/>
      <c r="G7" s="3"/>
    </row>
    <row r="8" spans="1:9" x14ac:dyDescent="0.3">
      <c r="A8" t="s">
        <v>16</v>
      </c>
      <c r="C8" s="3"/>
      <c r="D8" s="3">
        <v>13.1</v>
      </c>
      <c r="E8" s="3"/>
      <c r="F8" s="3"/>
      <c r="G8" s="3"/>
    </row>
    <row r="9" spans="1:9" x14ac:dyDescent="0.3">
      <c r="A9" t="s">
        <v>68</v>
      </c>
      <c r="C9" s="3"/>
      <c r="D9" s="3">
        <v>4.8</v>
      </c>
      <c r="E9" s="3"/>
      <c r="F9" s="3"/>
      <c r="G9" s="3"/>
    </row>
    <row r="10" spans="1:9" x14ac:dyDescent="0.3">
      <c r="A10" t="s">
        <v>69</v>
      </c>
      <c r="C10" s="3"/>
      <c r="D10" s="3">
        <v>0.8</v>
      </c>
      <c r="E10" s="3"/>
      <c r="F10" s="3"/>
      <c r="G10" s="3"/>
    </row>
    <row r="11" spans="1:9" x14ac:dyDescent="0.3">
      <c r="A11" t="s">
        <v>70</v>
      </c>
      <c r="C11" s="3"/>
      <c r="D11" s="3">
        <v>0.63</v>
      </c>
      <c r="E11" s="3"/>
      <c r="F11" s="3"/>
      <c r="G11" s="3"/>
    </row>
    <row r="12" spans="1:9" x14ac:dyDescent="0.3">
      <c r="A12" t="s">
        <v>20</v>
      </c>
      <c r="C12" s="3"/>
      <c r="D12" s="3">
        <f>SUM(D9:D11)</f>
        <v>6.2299999999999995</v>
      </c>
      <c r="E12" s="3"/>
      <c r="F12" s="3"/>
      <c r="G12" s="3"/>
    </row>
    <row r="13" spans="1:9" x14ac:dyDescent="0.3">
      <c r="A13" t="s">
        <v>21</v>
      </c>
      <c r="C13" s="3"/>
      <c r="D13" s="3"/>
      <c r="E13" s="3"/>
      <c r="F13" s="3"/>
      <c r="G13" s="4">
        <f>D12+D8-C6</f>
        <v>6.9789999999999974</v>
      </c>
      <c r="H13" s="5"/>
    </row>
    <row r="14" spans="1:9" x14ac:dyDescent="0.3">
      <c r="A14" t="s">
        <v>22</v>
      </c>
      <c r="D14" s="3"/>
      <c r="E14" s="3"/>
      <c r="F14" s="3"/>
      <c r="G14" s="4"/>
      <c r="H14" s="6">
        <f>G4/G13</f>
        <v>108.90901275254352</v>
      </c>
      <c r="I14" s="7">
        <f>1000/H14</f>
        <v>9.181976539188172</v>
      </c>
    </row>
    <row r="15" spans="1:9" x14ac:dyDescent="0.3">
      <c r="A15" t="s">
        <v>71</v>
      </c>
      <c r="D15" s="3"/>
      <c r="E15" s="3"/>
      <c r="F15" s="3"/>
      <c r="G15" s="4">
        <f>295.493-24+64</f>
        <v>335.49299999999999</v>
      </c>
      <c r="H15" s="5"/>
    </row>
    <row r="16" spans="1:9" x14ac:dyDescent="0.3">
      <c r="A16" t="s">
        <v>24</v>
      </c>
      <c r="D16" s="3"/>
      <c r="E16" s="3"/>
      <c r="F16" s="3"/>
      <c r="G16" s="4">
        <f>G15/H14</f>
        <v>3.0804888550618572</v>
      </c>
      <c r="H16" s="5"/>
    </row>
    <row r="17" spans="1:9" x14ac:dyDescent="0.3">
      <c r="A17" t="s">
        <v>25</v>
      </c>
      <c r="D17" s="3"/>
      <c r="E17" s="3"/>
      <c r="F17" s="3"/>
      <c r="G17" s="4">
        <v>424.58300000000003</v>
      </c>
      <c r="H17" s="5"/>
    </row>
    <row r="18" spans="1:9" x14ac:dyDescent="0.3">
      <c r="A18" t="s">
        <v>26</v>
      </c>
      <c r="D18" s="3"/>
      <c r="E18" s="3"/>
      <c r="F18" s="3"/>
      <c r="G18" s="4">
        <f>G17/H14</f>
        <v>3.8985111449381318</v>
      </c>
      <c r="H18" s="5"/>
    </row>
    <row r="19" spans="1:9" x14ac:dyDescent="0.3">
      <c r="A19" t="s">
        <v>27</v>
      </c>
      <c r="D19" s="3"/>
      <c r="E19" s="3"/>
      <c r="F19" s="3"/>
      <c r="G19" s="4">
        <v>950</v>
      </c>
      <c r="H19" s="5"/>
    </row>
    <row r="20" spans="1:9" x14ac:dyDescent="0.3">
      <c r="A20" t="s">
        <v>28</v>
      </c>
      <c r="D20" s="3"/>
      <c r="E20" s="3"/>
      <c r="F20" s="3">
        <f>DEGREES(ASIN(15.24/G19)*2)</f>
        <v>1.838368708352031</v>
      </c>
      <c r="G20" s="4"/>
      <c r="H20" s="5"/>
    </row>
    <row r="21" spans="1:9" x14ac:dyDescent="0.3">
      <c r="A21" t="s">
        <v>59</v>
      </c>
      <c r="D21" s="3"/>
      <c r="E21" s="3"/>
      <c r="F21" s="3"/>
      <c r="G21" s="4"/>
      <c r="H21" s="5"/>
      <c r="I21">
        <v>0.3</v>
      </c>
    </row>
    <row r="22" spans="1:9" x14ac:dyDescent="0.3">
      <c r="A22" t="s">
        <v>30</v>
      </c>
      <c r="C22" s="3"/>
      <c r="D22" s="3"/>
      <c r="E22" s="3"/>
      <c r="F22" s="3"/>
      <c r="G22" s="4"/>
      <c r="H22" s="6">
        <f>1000/I22</f>
        <v>102.73810243084198</v>
      </c>
      <c r="I22" s="7">
        <f>I14+(F20*I21)</f>
        <v>9.7334871516937813</v>
      </c>
    </row>
    <row r="23" spans="1:9" x14ac:dyDescent="0.3">
      <c r="A23" t="s">
        <v>31</v>
      </c>
      <c r="C23" s="3"/>
      <c r="D23" s="3"/>
      <c r="E23" s="3"/>
      <c r="F23" s="3"/>
      <c r="G23" s="8">
        <v>0.105</v>
      </c>
      <c r="H23" s="6"/>
      <c r="I23" s="7"/>
    </row>
    <row r="24" spans="1:9" x14ac:dyDescent="0.3">
      <c r="A24" t="s">
        <v>32</v>
      </c>
      <c r="C24" s="3"/>
      <c r="D24" s="3"/>
      <c r="E24" s="3"/>
      <c r="F24" s="3"/>
      <c r="G24" s="4">
        <f>G16+G23</f>
        <v>3.1854888550618572</v>
      </c>
      <c r="H24" s="6"/>
      <c r="I24" s="7"/>
    </row>
    <row r="25" spans="1:9" x14ac:dyDescent="0.3">
      <c r="A25" s="1" t="s">
        <v>33</v>
      </c>
      <c r="C25" s="3"/>
      <c r="D25" s="3"/>
      <c r="E25" s="3"/>
      <c r="F25" s="3"/>
      <c r="H25" s="9">
        <f>G15/G24</f>
        <v>105.31915673378968</v>
      </c>
      <c r="I25" s="10">
        <f>1000/(G15/G24)</f>
        <v>9.4949487919624467</v>
      </c>
    </row>
    <row r="26" spans="1:9" x14ac:dyDescent="0.3">
      <c r="A26" t="s">
        <v>34</v>
      </c>
      <c r="C26" s="3"/>
      <c r="D26" s="3"/>
      <c r="E26" s="3"/>
      <c r="F26" s="3"/>
      <c r="G26" s="4">
        <f>G13-G24</f>
        <v>3.7935111449381402</v>
      </c>
      <c r="H26" s="6"/>
      <c r="I26" s="7"/>
    </row>
    <row r="27" spans="1:9" x14ac:dyDescent="0.3">
      <c r="A27" t="s">
        <v>35</v>
      </c>
      <c r="C27" s="3"/>
      <c r="D27" s="3"/>
      <c r="E27" s="3"/>
      <c r="F27" s="3"/>
      <c r="G27" s="4"/>
      <c r="H27" s="6">
        <f>G17/G26</f>
        <v>111.92348823504605</v>
      </c>
      <c r="I27" s="7">
        <f>1000/(G17/G26)</f>
        <v>8.9346750692753591</v>
      </c>
    </row>
    <row r="28" spans="1:9" x14ac:dyDescent="0.3">
      <c r="A28" t="s">
        <v>36</v>
      </c>
      <c r="C28" s="3"/>
      <c r="D28" s="3"/>
      <c r="E28" s="3"/>
      <c r="F28" s="3"/>
      <c r="G28" s="4"/>
      <c r="H28" s="6">
        <f>1000/I28</f>
        <v>105.41644803775932</v>
      </c>
      <c r="I28" s="7">
        <f>I27+(F20*I21)</f>
        <v>9.4861856817809684</v>
      </c>
    </row>
    <row r="29" spans="1:9" x14ac:dyDescent="0.3">
      <c r="A29" s="1" t="s">
        <v>37</v>
      </c>
      <c r="C29" s="3"/>
      <c r="D29" s="3"/>
      <c r="E29" s="3"/>
      <c r="F29" s="3"/>
      <c r="G29" s="4"/>
      <c r="H29" s="9">
        <f>H28</f>
        <v>105.41644803775932</v>
      </c>
      <c r="I29" s="10">
        <f>I28</f>
        <v>9.4861856817809684</v>
      </c>
    </row>
    <row r="30" spans="1:9" x14ac:dyDescent="0.3">
      <c r="C30" s="3"/>
      <c r="D30" s="3"/>
      <c r="E30" s="3"/>
      <c r="F30" s="3"/>
      <c r="G30" s="4"/>
      <c r="H30" s="9"/>
      <c r="I30" s="10"/>
    </row>
    <row r="31" spans="1:9" x14ac:dyDescent="0.3">
      <c r="C31" s="3"/>
      <c r="D31" s="3"/>
      <c r="E31" s="3"/>
      <c r="F31" s="3"/>
      <c r="G31" s="4"/>
      <c r="H31" s="6"/>
      <c r="I31" s="7"/>
    </row>
    <row r="32" spans="1:9" ht="28.8" x14ac:dyDescent="0.3">
      <c r="A32" s="11" t="s">
        <v>40</v>
      </c>
      <c r="B32" s="14" t="s">
        <v>41</v>
      </c>
      <c r="C32" s="17" t="s">
        <v>42</v>
      </c>
      <c r="D32" s="17" t="s">
        <v>43</v>
      </c>
      <c r="E32" s="3"/>
      <c r="F32" s="3"/>
      <c r="G32" s="4"/>
      <c r="H32" s="6"/>
      <c r="I32" s="7"/>
    </row>
    <row r="33" spans="1:11" x14ac:dyDescent="0.3">
      <c r="A33" s="1"/>
      <c r="B33" t="s">
        <v>44</v>
      </c>
      <c r="C33" s="3"/>
      <c r="D33" s="3"/>
      <c r="E33" s="3"/>
      <c r="F33" s="3"/>
      <c r="G33" s="4"/>
      <c r="H33" s="6"/>
      <c r="I33" s="7"/>
    </row>
    <row r="34" spans="1:11" x14ac:dyDescent="0.3">
      <c r="A34" s="12" t="s">
        <v>45</v>
      </c>
      <c r="B34" s="2">
        <v>1932</v>
      </c>
      <c r="C34" s="2">
        <v>1981.34</v>
      </c>
      <c r="D34" s="2">
        <v>3178.636</v>
      </c>
      <c r="E34" s="2"/>
      <c r="F34" s="3"/>
      <c r="G34" s="3">
        <f>D34-C34</f>
        <v>1197.296</v>
      </c>
      <c r="H34" s="6"/>
      <c r="I34" s="7"/>
    </row>
    <row r="35" spans="1:11" x14ac:dyDescent="0.3">
      <c r="A35" t="s">
        <v>16</v>
      </c>
      <c r="B35" s="3">
        <v>13.46</v>
      </c>
      <c r="C35" s="3"/>
      <c r="E35" s="3"/>
      <c r="F35" s="3"/>
      <c r="G35" s="3"/>
    </row>
    <row r="36" spans="1:11" x14ac:dyDescent="0.3">
      <c r="A36" t="s">
        <v>17</v>
      </c>
      <c r="B36" s="3">
        <v>5.0999999999999996</v>
      </c>
      <c r="C36" s="3"/>
      <c r="E36" s="3"/>
      <c r="F36" s="3"/>
      <c r="G36" s="3"/>
    </row>
    <row r="37" spans="1:11" x14ac:dyDescent="0.3">
      <c r="A37" t="s">
        <v>18</v>
      </c>
      <c r="B37" s="3">
        <v>0.59399999999999997</v>
      </c>
      <c r="C37" s="3"/>
      <c r="E37" s="3"/>
      <c r="F37" s="3"/>
      <c r="G37" s="3"/>
    </row>
    <row r="38" spans="1:11" x14ac:dyDescent="0.3">
      <c r="A38" t="s">
        <v>19</v>
      </c>
      <c r="B38" s="3">
        <v>0.66500000000000004</v>
      </c>
      <c r="C38" s="3"/>
      <c r="E38" s="3"/>
      <c r="F38" s="3"/>
      <c r="G38" s="3"/>
    </row>
    <row r="39" spans="1:11" x14ac:dyDescent="0.3">
      <c r="A39" t="s">
        <v>20</v>
      </c>
      <c r="B39" s="3">
        <f>SUM(B36:B38)</f>
        <v>6.359</v>
      </c>
      <c r="C39" s="3"/>
      <c r="E39" s="3"/>
      <c r="F39" s="3"/>
      <c r="G39" s="3"/>
    </row>
    <row r="40" spans="1:11" x14ac:dyDescent="0.3">
      <c r="A40" t="s">
        <v>46</v>
      </c>
      <c r="B40" s="3"/>
      <c r="C40" s="2"/>
      <c r="D40" s="2">
        <v>11.425000000000001</v>
      </c>
      <c r="E40" s="2"/>
      <c r="F40" s="3"/>
      <c r="G40" s="3"/>
    </row>
    <row r="41" spans="1:11" x14ac:dyDescent="0.3">
      <c r="A41" t="s">
        <v>21</v>
      </c>
      <c r="C41" s="3"/>
      <c r="D41" s="3"/>
      <c r="E41" s="3"/>
      <c r="F41" s="3"/>
      <c r="G41" s="4">
        <f>B39+B35-D40</f>
        <v>8.3940000000000019</v>
      </c>
      <c r="H41" s="5"/>
    </row>
    <row r="42" spans="1:11" ht="13.95" customHeight="1" x14ac:dyDescent="0.3">
      <c r="A42" t="s">
        <v>22</v>
      </c>
      <c r="D42" s="3"/>
      <c r="E42" s="3"/>
      <c r="F42" s="3"/>
      <c r="G42" s="4"/>
      <c r="H42" s="6">
        <f>G34/G41</f>
        <v>142.63712175363352</v>
      </c>
      <c r="I42" s="7">
        <f>1000/H42</f>
        <v>7.0107976640697052</v>
      </c>
    </row>
    <row r="43" spans="1:11" x14ac:dyDescent="0.3">
      <c r="A43" t="s">
        <v>47</v>
      </c>
      <c r="D43" s="3"/>
      <c r="E43" s="3"/>
      <c r="F43" s="3"/>
      <c r="G43" s="4">
        <v>933.92100000000005</v>
      </c>
      <c r="H43" s="5"/>
    </row>
    <row r="44" spans="1:11" x14ac:dyDescent="0.3">
      <c r="A44" t="s">
        <v>24</v>
      </c>
      <c r="D44" s="3"/>
      <c r="E44" s="3"/>
      <c r="F44" s="3"/>
      <c r="G44" s="4">
        <f>G43/H42</f>
        <v>6.5475311652256432</v>
      </c>
      <c r="H44" s="5"/>
      <c r="K44" s="13"/>
    </row>
    <row r="45" spans="1:11" x14ac:dyDescent="0.3">
      <c r="A45" t="s">
        <v>48</v>
      </c>
      <c r="D45" s="3"/>
      <c r="E45" s="3"/>
      <c r="F45" s="3"/>
      <c r="G45" s="4">
        <v>262.875</v>
      </c>
      <c r="H45" s="5"/>
    </row>
    <row r="46" spans="1:11" x14ac:dyDescent="0.3">
      <c r="A46" t="s">
        <v>26</v>
      </c>
      <c r="D46" s="3"/>
      <c r="E46" s="3"/>
      <c r="F46" s="3"/>
      <c r="G46" s="4">
        <f>G45/H42</f>
        <v>1.8429634359423237</v>
      </c>
      <c r="H46" s="5"/>
    </row>
    <row r="47" spans="1:11" x14ac:dyDescent="0.3">
      <c r="A47" t="s">
        <v>27</v>
      </c>
      <c r="D47" s="3"/>
      <c r="E47" s="3"/>
      <c r="F47" s="3"/>
      <c r="G47" s="4">
        <v>3000</v>
      </c>
      <c r="H47" s="5"/>
    </row>
    <row r="48" spans="1:11" x14ac:dyDescent="0.3">
      <c r="A48" t="s">
        <v>28</v>
      </c>
      <c r="D48" s="3"/>
      <c r="E48" s="3"/>
      <c r="F48" s="3">
        <f>DEGREES(ASIN(15.24/G47)*2)</f>
        <v>0.58212762364094162</v>
      </c>
      <c r="G48" s="4"/>
      <c r="H48" s="5"/>
    </row>
    <row r="49" spans="1:9" x14ac:dyDescent="0.3">
      <c r="A49" t="s">
        <v>29</v>
      </c>
      <c r="D49" s="3"/>
      <c r="E49" s="3"/>
      <c r="F49" s="3"/>
      <c r="G49" s="4"/>
      <c r="H49" s="5"/>
      <c r="I49">
        <v>0.3</v>
      </c>
    </row>
    <row r="50" spans="1:9" x14ac:dyDescent="0.3">
      <c r="A50" t="s">
        <v>30</v>
      </c>
      <c r="C50" s="3"/>
      <c r="D50" s="3"/>
      <c r="E50" s="3"/>
      <c r="F50" s="3"/>
      <c r="G50" s="4"/>
      <c r="H50" s="6">
        <f>1000/I50</f>
        <v>139.17040062660161</v>
      </c>
      <c r="I50" s="7">
        <f>I42+(F48*I49)</f>
        <v>7.1854359511619874</v>
      </c>
    </row>
    <row r="51" spans="1:9" x14ac:dyDescent="0.3">
      <c r="A51" t="s">
        <v>31</v>
      </c>
      <c r="C51" s="3"/>
      <c r="D51" s="3"/>
      <c r="E51" s="3"/>
      <c r="F51" s="3"/>
      <c r="G51" s="8">
        <v>3.7999999999999999E-2</v>
      </c>
      <c r="H51" s="6"/>
      <c r="I51" s="7"/>
    </row>
    <row r="52" spans="1:9" x14ac:dyDescent="0.3">
      <c r="A52" t="s">
        <v>32</v>
      </c>
      <c r="C52" s="3"/>
      <c r="D52" s="3"/>
      <c r="E52" s="3"/>
      <c r="F52" s="3"/>
      <c r="G52" s="4">
        <f>G44+G51</f>
        <v>6.5855311652256434</v>
      </c>
      <c r="H52" s="6"/>
      <c r="I52" s="7"/>
    </row>
    <row r="53" spans="1:9" x14ac:dyDescent="0.3">
      <c r="A53" s="1" t="s">
        <v>33</v>
      </c>
      <c r="C53" s="3"/>
      <c r="D53" s="3"/>
      <c r="E53" s="3"/>
      <c r="F53" s="3"/>
      <c r="H53" s="9">
        <f>G43/G52</f>
        <v>141.81407339342545</v>
      </c>
      <c r="I53" s="10">
        <f>1000/(G43/G52)</f>
        <v>7.0514863304558348</v>
      </c>
    </row>
    <row r="54" spans="1:9" x14ac:dyDescent="0.3">
      <c r="A54" t="s">
        <v>34</v>
      </c>
      <c r="C54" s="3"/>
      <c r="D54" s="3"/>
      <c r="E54" s="3"/>
      <c r="F54" s="3"/>
      <c r="G54" s="4">
        <f>G41-G52</f>
        <v>1.8084688347743585</v>
      </c>
      <c r="H54" s="6"/>
      <c r="I54" s="7"/>
    </row>
    <row r="55" spans="1:9" x14ac:dyDescent="0.3">
      <c r="A55" t="s">
        <v>35</v>
      </c>
      <c r="C55" s="3"/>
      <c r="D55" s="3"/>
      <c r="E55" s="3"/>
      <c r="F55" s="3"/>
      <c r="G55" s="4"/>
      <c r="H55" s="6">
        <f>G45/G54</f>
        <v>145.35777169353253</v>
      </c>
      <c r="I55" s="7">
        <f>1000/(G45/G54)</f>
        <v>6.8795771175439224</v>
      </c>
    </row>
    <row r="56" spans="1:9" x14ac:dyDescent="0.3">
      <c r="A56" t="s">
        <v>36</v>
      </c>
      <c r="C56" s="3"/>
      <c r="D56" s="3"/>
      <c r="E56" s="3"/>
      <c r="F56" s="3"/>
      <c r="G56" s="4"/>
      <c r="H56" s="6">
        <f>1000/I56</f>
        <v>141.75920958449544</v>
      </c>
      <c r="I56" s="7">
        <f>I55+(F48*I49)</f>
        <v>7.0542154046362047</v>
      </c>
    </row>
    <row r="57" spans="1:9" x14ac:dyDescent="0.3">
      <c r="A57" s="1" t="s">
        <v>37</v>
      </c>
      <c r="C57" s="3"/>
      <c r="D57" s="3"/>
      <c r="E57" s="3"/>
      <c r="F57" s="3"/>
      <c r="G57" s="4"/>
      <c r="H57" s="9">
        <f>H56</f>
        <v>141.75920958449544</v>
      </c>
      <c r="I57" s="10">
        <f>I56</f>
        <v>7.0542154046362047</v>
      </c>
    </row>
    <row r="58" spans="1:9" x14ac:dyDescent="0.3">
      <c r="C58" s="3"/>
      <c r="D58" s="3"/>
      <c r="E58" s="3"/>
      <c r="F58" s="3"/>
    </row>
    <row r="59" spans="1:9" x14ac:dyDescent="0.3">
      <c r="D59" s="3"/>
      <c r="E59" s="3"/>
      <c r="F59" s="3"/>
    </row>
    <row r="60" spans="1:9" x14ac:dyDescent="0.3">
      <c r="C60" s="3"/>
      <c r="D60" s="3"/>
      <c r="E60" s="3"/>
      <c r="F60" s="3"/>
    </row>
    <row r="61" spans="1:9" x14ac:dyDescent="0.3">
      <c r="C61" s="3"/>
      <c r="D61" s="3"/>
      <c r="E61" s="3"/>
      <c r="F61" s="3"/>
    </row>
    <row r="64" spans="1:9" x14ac:dyDescent="0.3">
      <c r="C64" s="2"/>
      <c r="D64" s="2"/>
      <c r="E64" s="2"/>
      <c r="F64" s="2"/>
      <c r="G64" s="3"/>
    </row>
    <row r="65" spans="3:7" x14ac:dyDescent="0.3">
      <c r="C65" s="3"/>
      <c r="D65" s="3"/>
      <c r="E65" s="3"/>
      <c r="F65" s="3"/>
      <c r="G65" s="3"/>
    </row>
    <row r="66" spans="3:7" x14ac:dyDescent="0.3">
      <c r="C66" s="3"/>
      <c r="D66" s="3"/>
      <c r="E66" s="3"/>
      <c r="F66" s="3"/>
    </row>
    <row r="67" spans="3:7" x14ac:dyDescent="0.3">
      <c r="C67" s="3"/>
      <c r="D67" s="3"/>
      <c r="E67" s="3"/>
      <c r="F67" s="3"/>
    </row>
    <row r="68" spans="3:7" x14ac:dyDescent="0.3">
      <c r="C68" s="3"/>
      <c r="D68" s="3"/>
      <c r="E68" s="3"/>
      <c r="F68" s="3"/>
    </row>
    <row r="69" spans="3:7" x14ac:dyDescent="0.3">
      <c r="D69" s="3"/>
      <c r="E69" s="3"/>
      <c r="F69" s="3"/>
    </row>
  </sheetData>
  <pageMargins left="0.7" right="0.7" top="0.75" bottom="0.75" header="0.3" footer="0.3"/>
  <pageSetup paperSize="9" orientation="portrait" verticalDpi="0" r:id="rId1"/>
  <ignoredErrors>
    <ignoredError sqref="B3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A3F8-36FE-48EA-8E9B-8C6682A11F06}">
  <dimension ref="A1:K69"/>
  <sheetViews>
    <sheetView workbookViewId="0">
      <selection activeCell="B32" sqref="B32"/>
    </sheetView>
  </sheetViews>
  <sheetFormatPr defaultRowHeight="14.4" x14ac:dyDescent="0.3"/>
  <cols>
    <col min="1" max="1" width="88.88671875" customWidth="1"/>
    <col min="2" max="2" width="27.88671875" customWidth="1"/>
    <col min="3" max="3" width="20.6640625" customWidth="1"/>
    <col min="4" max="4" width="23.88671875" customWidth="1"/>
    <col min="5" max="5" width="4.5546875" customWidth="1"/>
    <col min="6" max="6" width="9.5546875" customWidth="1"/>
    <col min="7" max="7" width="11" customWidth="1"/>
    <col min="8" max="8" width="12.6640625" customWidth="1"/>
    <col min="9" max="9" width="11" customWidth="1"/>
    <col min="11" max="11" width="27" customWidth="1"/>
    <col min="12" max="12" width="17.44140625" customWidth="1"/>
  </cols>
  <sheetData>
    <row r="1" spans="1:9" ht="13.95" customHeight="1" x14ac:dyDescent="0.3">
      <c r="A1" s="1" t="s">
        <v>64</v>
      </c>
      <c r="B1" t="s">
        <v>52</v>
      </c>
      <c r="C1" t="s">
        <v>2</v>
      </c>
      <c r="D1" t="s">
        <v>3</v>
      </c>
      <c r="F1" t="s">
        <v>4</v>
      </c>
      <c r="G1" t="s">
        <v>65</v>
      </c>
      <c r="H1" t="s">
        <v>6</v>
      </c>
      <c r="I1" t="s">
        <v>7</v>
      </c>
    </row>
    <row r="2" spans="1:9" ht="13.95" customHeight="1" x14ac:dyDescent="0.3">
      <c r="A2" s="1" t="s">
        <v>74</v>
      </c>
    </row>
    <row r="3" spans="1:9" ht="13.95" customHeight="1" x14ac:dyDescent="0.3">
      <c r="A3" s="1" t="s">
        <v>8</v>
      </c>
      <c r="B3" t="s">
        <v>9</v>
      </c>
      <c r="C3" t="s">
        <v>10</v>
      </c>
      <c r="D3" t="s">
        <v>11</v>
      </c>
    </row>
    <row r="4" spans="1:9" x14ac:dyDescent="0.3">
      <c r="A4" t="s">
        <v>67</v>
      </c>
      <c r="B4" s="2">
        <v>27799</v>
      </c>
      <c r="C4" s="2">
        <f>27950-40</f>
        <v>27910</v>
      </c>
      <c r="D4" s="2">
        <v>28670.076000000001</v>
      </c>
      <c r="E4" s="2"/>
      <c r="F4" s="3"/>
      <c r="G4" s="3">
        <f>D4-C4</f>
        <v>760.07600000000093</v>
      </c>
    </row>
    <row r="5" spans="1:9" x14ac:dyDescent="0.3">
      <c r="A5" t="s">
        <v>73</v>
      </c>
      <c r="B5" s="3">
        <v>12.227</v>
      </c>
      <c r="C5" s="2"/>
      <c r="D5" s="2"/>
      <c r="E5" s="2"/>
      <c r="F5" s="3"/>
      <c r="G5" s="3"/>
    </row>
    <row r="6" spans="1:9" x14ac:dyDescent="0.3">
      <c r="A6" t="s">
        <v>55</v>
      </c>
      <c r="C6" s="3">
        <v>12.351000000000001</v>
      </c>
      <c r="D6" s="3"/>
      <c r="E6" s="3"/>
      <c r="F6" s="3"/>
      <c r="G6" s="3"/>
    </row>
    <row r="7" spans="1:9" x14ac:dyDescent="0.3">
      <c r="A7" t="s">
        <v>15</v>
      </c>
      <c r="C7" s="3">
        <v>4.8</v>
      </c>
      <c r="D7" s="3"/>
      <c r="E7" s="3"/>
      <c r="F7" s="3"/>
      <c r="G7" s="3"/>
    </row>
    <row r="8" spans="1:9" x14ac:dyDescent="0.3">
      <c r="A8" t="s">
        <v>16</v>
      </c>
      <c r="C8" s="3"/>
      <c r="D8" s="3">
        <v>13.1</v>
      </c>
      <c r="E8" s="3"/>
      <c r="F8" s="3"/>
      <c r="G8" s="3"/>
    </row>
    <row r="9" spans="1:9" x14ac:dyDescent="0.3">
      <c r="A9" t="s">
        <v>68</v>
      </c>
      <c r="C9" s="3"/>
      <c r="D9" s="3">
        <v>4.8</v>
      </c>
      <c r="E9" s="3"/>
      <c r="F9" s="3"/>
      <c r="G9" s="3"/>
    </row>
    <row r="10" spans="1:9" x14ac:dyDescent="0.3">
      <c r="A10" t="s">
        <v>69</v>
      </c>
      <c r="C10" s="3"/>
      <c r="D10" s="3">
        <v>0.6</v>
      </c>
      <c r="E10" s="3"/>
      <c r="F10" s="3"/>
      <c r="G10" s="3"/>
    </row>
    <row r="11" spans="1:9" x14ac:dyDescent="0.3">
      <c r="A11" t="s">
        <v>70</v>
      </c>
      <c r="C11" s="3"/>
      <c r="D11" s="3">
        <v>0.63</v>
      </c>
      <c r="E11" s="3"/>
      <c r="F11" s="3"/>
      <c r="G11" s="3"/>
    </row>
    <row r="12" spans="1:9" x14ac:dyDescent="0.3">
      <c r="A12" t="s">
        <v>20</v>
      </c>
      <c r="C12" s="3"/>
      <c r="D12" s="3">
        <f>SUM(D9:D11)</f>
        <v>6.0299999999999994</v>
      </c>
      <c r="E12" s="3"/>
      <c r="F12" s="3"/>
      <c r="G12" s="3"/>
    </row>
    <row r="13" spans="1:9" x14ac:dyDescent="0.3">
      <c r="A13" t="s">
        <v>21</v>
      </c>
      <c r="C13" s="3"/>
      <c r="D13" s="3"/>
      <c r="E13" s="3"/>
      <c r="F13" s="3"/>
      <c r="G13" s="4">
        <f>D12+D8-C6</f>
        <v>6.7789999999999981</v>
      </c>
      <c r="H13" s="5"/>
    </row>
    <row r="14" spans="1:9" x14ac:dyDescent="0.3">
      <c r="A14" t="s">
        <v>22</v>
      </c>
      <c r="D14" s="3"/>
      <c r="E14" s="3"/>
      <c r="F14" s="3"/>
      <c r="G14" s="4"/>
      <c r="H14" s="6">
        <f>G4/G13</f>
        <v>112.12214190883628</v>
      </c>
      <c r="I14" s="7">
        <f>1000/H14</f>
        <v>8.9188449576094886</v>
      </c>
    </row>
    <row r="15" spans="1:9" x14ac:dyDescent="0.3">
      <c r="A15" t="s">
        <v>71</v>
      </c>
      <c r="D15" s="3"/>
      <c r="E15" s="3"/>
      <c r="F15" s="3"/>
      <c r="G15" s="4">
        <f>295.493-24+64</f>
        <v>335.49299999999999</v>
      </c>
      <c r="H15" s="5"/>
    </row>
    <row r="16" spans="1:9" x14ac:dyDescent="0.3">
      <c r="A16" t="s">
        <v>24</v>
      </c>
      <c r="D16" s="3"/>
      <c r="E16" s="3"/>
      <c r="F16" s="3"/>
      <c r="G16" s="4">
        <f>G15/H14</f>
        <v>2.9922100513632799</v>
      </c>
      <c r="H16" s="5"/>
    </row>
    <row r="17" spans="1:9" x14ac:dyDescent="0.3">
      <c r="A17" t="s">
        <v>25</v>
      </c>
      <c r="D17" s="3"/>
      <c r="E17" s="3"/>
      <c r="F17" s="3"/>
      <c r="G17" s="4">
        <v>424.58300000000003</v>
      </c>
      <c r="H17" s="5"/>
    </row>
    <row r="18" spans="1:9" x14ac:dyDescent="0.3">
      <c r="A18" t="s">
        <v>26</v>
      </c>
      <c r="D18" s="3"/>
      <c r="E18" s="3"/>
      <c r="F18" s="3"/>
      <c r="G18" s="4">
        <f>G17/H14</f>
        <v>3.7867899486367098</v>
      </c>
      <c r="H18" s="5"/>
    </row>
    <row r="19" spans="1:9" x14ac:dyDescent="0.3">
      <c r="A19" t="s">
        <v>27</v>
      </c>
      <c r="D19" s="3"/>
      <c r="E19" s="3"/>
      <c r="F19" s="3"/>
      <c r="G19" s="4">
        <v>950</v>
      </c>
      <c r="H19" s="5"/>
    </row>
    <row r="20" spans="1:9" x14ac:dyDescent="0.3">
      <c r="A20" t="s">
        <v>28</v>
      </c>
      <c r="D20" s="3"/>
      <c r="E20" s="3"/>
      <c r="F20" s="3">
        <f>DEGREES(ASIN(15.24/G19)*2)</f>
        <v>1.838368708352031</v>
      </c>
      <c r="G20" s="4"/>
      <c r="H20" s="5"/>
    </row>
    <row r="21" spans="1:9" x14ac:dyDescent="0.3">
      <c r="A21" t="s">
        <v>59</v>
      </c>
      <c r="D21" s="3"/>
      <c r="E21" s="3"/>
      <c r="F21" s="3"/>
      <c r="G21" s="4"/>
      <c r="H21" s="5"/>
      <c r="I21">
        <v>0.3</v>
      </c>
    </row>
    <row r="22" spans="1:9" x14ac:dyDescent="0.3">
      <c r="A22" t="s">
        <v>30</v>
      </c>
      <c r="C22" s="3"/>
      <c r="D22" s="3"/>
      <c r="E22" s="3"/>
      <c r="F22" s="3"/>
      <c r="G22" s="4"/>
      <c r="H22" s="6">
        <f>1000/I22</f>
        <v>105.59265622038798</v>
      </c>
      <c r="I22" s="7">
        <f>I14+(F20*I21)</f>
        <v>9.4703555701150979</v>
      </c>
    </row>
    <row r="23" spans="1:9" x14ac:dyDescent="0.3">
      <c r="A23" t="s">
        <v>31</v>
      </c>
      <c r="C23" s="3"/>
      <c r="D23" s="3"/>
      <c r="E23" s="3"/>
      <c r="F23" s="3"/>
      <c r="G23" s="8">
        <v>0.104</v>
      </c>
      <c r="H23" s="6"/>
      <c r="I23" s="7"/>
    </row>
    <row r="24" spans="1:9" x14ac:dyDescent="0.3">
      <c r="A24" t="s">
        <v>32</v>
      </c>
      <c r="C24" s="3"/>
      <c r="D24" s="3"/>
      <c r="E24" s="3"/>
      <c r="F24" s="3"/>
      <c r="G24" s="4">
        <f>G16+G23</f>
        <v>3.09621005136328</v>
      </c>
      <c r="H24" s="6"/>
      <c r="I24" s="7"/>
    </row>
    <row r="25" spans="1:9" x14ac:dyDescent="0.3">
      <c r="A25" s="1" t="s">
        <v>33</v>
      </c>
      <c r="C25" s="3"/>
      <c r="D25" s="3"/>
      <c r="E25" s="3"/>
      <c r="F25" s="3"/>
      <c r="H25" s="9">
        <f>G15/G24</f>
        <v>108.35602056529737</v>
      </c>
      <c r="I25" s="10">
        <f>1000/(G15/G24)</f>
        <v>9.2288365222621032</v>
      </c>
    </row>
    <row r="26" spans="1:9" x14ac:dyDescent="0.3">
      <c r="A26" t="s">
        <v>34</v>
      </c>
      <c r="C26" s="3"/>
      <c r="D26" s="3"/>
      <c r="E26" s="3"/>
      <c r="F26" s="3"/>
      <c r="G26" s="4">
        <f>G13-G24</f>
        <v>3.6827899486367182</v>
      </c>
      <c r="H26" s="6"/>
      <c r="I26" s="7"/>
    </row>
    <row r="27" spans="1:9" x14ac:dyDescent="0.3">
      <c r="A27" t="s">
        <v>35</v>
      </c>
      <c r="C27" s="3"/>
      <c r="D27" s="3"/>
      <c r="E27" s="3"/>
      <c r="F27" s="3"/>
      <c r="G27" s="4"/>
      <c r="H27" s="6">
        <f>G17/G26</f>
        <v>115.28841066734491</v>
      </c>
      <c r="I27" s="7">
        <f>1000/(G17/G26)</f>
        <v>8.6738987397910847</v>
      </c>
    </row>
    <row r="28" spans="1:9" x14ac:dyDescent="0.3">
      <c r="A28" t="s">
        <v>36</v>
      </c>
      <c r="C28" s="3"/>
      <c r="D28" s="3"/>
      <c r="E28" s="3"/>
      <c r="F28" s="3"/>
      <c r="G28" s="4"/>
      <c r="H28" s="6">
        <f>1000/I28</f>
        <v>108.39627400935298</v>
      </c>
      <c r="I28" s="7">
        <f>I27+(F20*I21)</f>
        <v>9.225409352296694</v>
      </c>
    </row>
    <row r="29" spans="1:9" x14ac:dyDescent="0.3">
      <c r="A29" s="1" t="s">
        <v>37</v>
      </c>
      <c r="C29" s="3"/>
      <c r="D29" s="3"/>
      <c r="E29" s="3"/>
      <c r="F29" s="3"/>
      <c r="G29" s="4"/>
      <c r="H29" s="9">
        <f>H28</f>
        <v>108.39627400935298</v>
      </c>
      <c r="I29" s="10">
        <f>I28</f>
        <v>9.225409352296694</v>
      </c>
    </row>
    <row r="30" spans="1:9" x14ac:dyDescent="0.3">
      <c r="C30" s="3"/>
      <c r="D30" s="3"/>
      <c r="E30" s="3"/>
      <c r="F30" s="3"/>
      <c r="G30" s="4"/>
      <c r="H30" s="9"/>
      <c r="I30" s="10"/>
    </row>
    <row r="31" spans="1:9" x14ac:dyDescent="0.3">
      <c r="C31" s="3"/>
      <c r="D31" s="3"/>
      <c r="E31" s="3"/>
      <c r="F31" s="3"/>
      <c r="G31" s="4"/>
      <c r="H31" s="6"/>
      <c r="I31" s="7"/>
    </row>
    <row r="32" spans="1:9" ht="28.8" x14ac:dyDescent="0.3">
      <c r="A32" s="11" t="s">
        <v>40</v>
      </c>
      <c r="B32" s="14" t="s">
        <v>41</v>
      </c>
      <c r="C32" s="3" t="s">
        <v>42</v>
      </c>
      <c r="D32" s="3" t="s">
        <v>43</v>
      </c>
      <c r="E32" s="3"/>
      <c r="F32" s="3"/>
      <c r="G32" s="4"/>
      <c r="H32" s="6"/>
      <c r="I32" s="7"/>
    </row>
    <row r="33" spans="1:11" x14ac:dyDescent="0.3">
      <c r="A33" s="1"/>
      <c r="B33" t="s">
        <v>44</v>
      </c>
      <c r="C33" s="3"/>
      <c r="D33" s="3"/>
      <c r="E33" s="3"/>
      <c r="F33" s="3"/>
      <c r="G33" s="4"/>
      <c r="H33" s="6"/>
      <c r="I33" s="7"/>
    </row>
    <row r="34" spans="1:11" x14ac:dyDescent="0.3">
      <c r="A34" s="12" t="s">
        <v>45</v>
      </c>
      <c r="B34" s="2">
        <v>1932</v>
      </c>
      <c r="C34" s="2">
        <v>1981.34</v>
      </c>
      <c r="D34" s="2">
        <v>3178.636</v>
      </c>
      <c r="E34" s="2"/>
      <c r="F34" s="3"/>
      <c r="G34" s="3">
        <f>D34-C34</f>
        <v>1197.296</v>
      </c>
      <c r="H34" s="6"/>
      <c r="I34" s="7"/>
    </row>
    <row r="35" spans="1:11" x14ac:dyDescent="0.3">
      <c r="A35" t="s">
        <v>16</v>
      </c>
      <c r="B35" s="3">
        <v>13.46</v>
      </c>
      <c r="C35" s="3"/>
      <c r="E35" s="3"/>
      <c r="F35" s="3"/>
      <c r="G35" s="3"/>
    </row>
    <row r="36" spans="1:11" x14ac:dyDescent="0.3">
      <c r="A36" t="s">
        <v>17</v>
      </c>
      <c r="B36" s="3">
        <v>5.0999999999999996</v>
      </c>
      <c r="C36" s="3"/>
      <c r="E36" s="3"/>
      <c r="F36" s="3"/>
      <c r="G36" s="3"/>
    </row>
    <row r="37" spans="1:11" x14ac:dyDescent="0.3">
      <c r="A37" t="s">
        <v>18</v>
      </c>
      <c r="B37" s="3">
        <v>0.59399999999999997</v>
      </c>
      <c r="C37" s="3"/>
      <c r="E37" s="3"/>
      <c r="F37" s="3"/>
      <c r="G37" s="3"/>
    </row>
    <row r="38" spans="1:11" x14ac:dyDescent="0.3">
      <c r="A38" t="s">
        <v>19</v>
      </c>
      <c r="B38" s="3">
        <v>0.66500000000000004</v>
      </c>
      <c r="C38" s="3"/>
      <c r="E38" s="3"/>
      <c r="F38" s="3"/>
      <c r="G38" s="3"/>
    </row>
    <row r="39" spans="1:11" x14ac:dyDescent="0.3">
      <c r="A39" t="s">
        <v>20</v>
      </c>
      <c r="B39" s="3">
        <f>SUM(B36:B38)</f>
        <v>6.359</v>
      </c>
      <c r="C39" s="3"/>
      <c r="E39" s="3"/>
      <c r="F39" s="3"/>
      <c r="G39" s="3"/>
    </row>
    <row r="40" spans="1:11" x14ac:dyDescent="0.3">
      <c r="A40" t="s">
        <v>46</v>
      </c>
      <c r="B40" s="3"/>
      <c r="C40" s="2"/>
      <c r="D40" s="2">
        <v>11.425000000000001</v>
      </c>
      <c r="E40" s="2"/>
      <c r="F40" s="3"/>
      <c r="G40" s="3"/>
    </row>
    <row r="41" spans="1:11" x14ac:dyDescent="0.3">
      <c r="A41" t="s">
        <v>21</v>
      </c>
      <c r="C41" s="3"/>
      <c r="D41" s="3"/>
      <c r="E41" s="3"/>
      <c r="F41" s="3"/>
      <c r="G41" s="4">
        <f>B39+B35-D40</f>
        <v>8.3940000000000019</v>
      </c>
      <c r="H41" s="5"/>
    </row>
    <row r="42" spans="1:11" ht="13.95" customHeight="1" x14ac:dyDescent="0.3">
      <c r="A42" t="s">
        <v>22</v>
      </c>
      <c r="D42" s="3"/>
      <c r="E42" s="3"/>
      <c r="F42" s="3"/>
      <c r="G42" s="4"/>
      <c r="H42" s="6">
        <f>G34/G41</f>
        <v>142.63712175363352</v>
      </c>
      <c r="I42" s="7">
        <f>1000/H42</f>
        <v>7.0107976640697052</v>
      </c>
    </row>
    <row r="43" spans="1:11" x14ac:dyDescent="0.3">
      <c r="A43" t="s">
        <v>47</v>
      </c>
      <c r="D43" s="3"/>
      <c r="E43" s="3"/>
      <c r="F43" s="3"/>
      <c r="G43" s="4">
        <v>933.92100000000005</v>
      </c>
      <c r="H43" s="5"/>
    </row>
    <row r="44" spans="1:11" x14ac:dyDescent="0.3">
      <c r="A44" t="s">
        <v>24</v>
      </c>
      <c r="D44" s="3"/>
      <c r="E44" s="3"/>
      <c r="F44" s="3"/>
      <c r="G44" s="4">
        <f>G43/H42</f>
        <v>6.5475311652256432</v>
      </c>
      <c r="H44" s="5"/>
      <c r="K44" s="13"/>
    </row>
    <row r="45" spans="1:11" x14ac:dyDescent="0.3">
      <c r="A45" t="s">
        <v>48</v>
      </c>
      <c r="D45" s="3"/>
      <c r="E45" s="3"/>
      <c r="F45" s="3"/>
      <c r="G45" s="4">
        <v>262.875</v>
      </c>
      <c r="H45" s="5"/>
    </row>
    <row r="46" spans="1:11" x14ac:dyDescent="0.3">
      <c r="A46" t="s">
        <v>26</v>
      </c>
      <c r="D46" s="3"/>
      <c r="E46" s="3"/>
      <c r="F46" s="3"/>
      <c r="G46" s="4">
        <f>G45/H42</f>
        <v>1.8429634359423237</v>
      </c>
      <c r="H46" s="5"/>
    </row>
    <row r="47" spans="1:11" x14ac:dyDescent="0.3">
      <c r="A47" t="s">
        <v>27</v>
      </c>
      <c r="D47" s="3"/>
      <c r="E47" s="3"/>
      <c r="F47" s="3"/>
      <c r="G47" s="4">
        <v>3000</v>
      </c>
      <c r="H47" s="5"/>
    </row>
    <row r="48" spans="1:11" x14ac:dyDescent="0.3">
      <c r="A48" t="s">
        <v>28</v>
      </c>
      <c r="D48" s="3"/>
      <c r="E48" s="3"/>
      <c r="F48" s="3">
        <f>DEGREES(ASIN(15.24/G47)*2)</f>
        <v>0.58212762364094162</v>
      </c>
      <c r="G48" s="4"/>
      <c r="H48" s="5"/>
    </row>
    <row r="49" spans="1:9" x14ac:dyDescent="0.3">
      <c r="A49" t="s">
        <v>29</v>
      </c>
      <c r="D49" s="3"/>
      <c r="E49" s="3"/>
      <c r="F49" s="3"/>
      <c r="G49" s="4"/>
      <c r="H49" s="5"/>
      <c r="I49">
        <v>0.3</v>
      </c>
    </row>
    <row r="50" spans="1:9" x14ac:dyDescent="0.3">
      <c r="A50" t="s">
        <v>30</v>
      </c>
      <c r="C50" s="3"/>
      <c r="D50" s="3"/>
      <c r="E50" s="3"/>
      <c r="F50" s="3"/>
      <c r="G50" s="4"/>
      <c r="H50" s="6">
        <f>1000/I50</f>
        <v>139.17040062660161</v>
      </c>
      <c r="I50" s="7">
        <f>I42+(F48*I49)</f>
        <v>7.1854359511619874</v>
      </c>
    </row>
    <row r="51" spans="1:9" x14ac:dyDescent="0.3">
      <c r="A51" t="s">
        <v>31</v>
      </c>
      <c r="C51" s="3"/>
      <c r="D51" s="3"/>
      <c r="E51" s="3"/>
      <c r="F51" s="3"/>
      <c r="G51" s="8">
        <v>3.7999999999999999E-2</v>
      </c>
      <c r="H51" s="6"/>
      <c r="I51" s="7"/>
    </row>
    <row r="52" spans="1:9" x14ac:dyDescent="0.3">
      <c r="A52" t="s">
        <v>32</v>
      </c>
      <c r="C52" s="3"/>
      <c r="D52" s="3"/>
      <c r="E52" s="3"/>
      <c r="F52" s="3"/>
      <c r="G52" s="4">
        <f>G44+G51</f>
        <v>6.5855311652256434</v>
      </c>
      <c r="H52" s="6"/>
      <c r="I52" s="7"/>
    </row>
    <row r="53" spans="1:9" x14ac:dyDescent="0.3">
      <c r="A53" s="1" t="s">
        <v>33</v>
      </c>
      <c r="C53" s="3"/>
      <c r="D53" s="3"/>
      <c r="E53" s="3"/>
      <c r="F53" s="3"/>
      <c r="H53" s="9">
        <f>G43/G52</f>
        <v>141.81407339342545</v>
      </c>
      <c r="I53" s="10">
        <f>1000/(G43/G52)</f>
        <v>7.0514863304558348</v>
      </c>
    </row>
    <row r="54" spans="1:9" x14ac:dyDescent="0.3">
      <c r="A54" t="s">
        <v>34</v>
      </c>
      <c r="C54" s="3"/>
      <c r="D54" s="3"/>
      <c r="E54" s="3"/>
      <c r="F54" s="3"/>
      <c r="G54" s="4">
        <f>G41-G52</f>
        <v>1.8084688347743585</v>
      </c>
      <c r="H54" s="6"/>
      <c r="I54" s="7"/>
    </row>
    <row r="55" spans="1:9" x14ac:dyDescent="0.3">
      <c r="A55" t="s">
        <v>35</v>
      </c>
      <c r="C55" s="3"/>
      <c r="D55" s="3"/>
      <c r="E55" s="3"/>
      <c r="F55" s="3"/>
      <c r="G55" s="4"/>
      <c r="H55" s="6">
        <f>G45/G54</f>
        <v>145.35777169353253</v>
      </c>
      <c r="I55" s="7">
        <f>1000/(G45/G54)</f>
        <v>6.8795771175439224</v>
      </c>
    </row>
    <row r="56" spans="1:9" x14ac:dyDescent="0.3">
      <c r="A56" t="s">
        <v>36</v>
      </c>
      <c r="C56" s="3"/>
      <c r="D56" s="3"/>
      <c r="E56" s="3"/>
      <c r="F56" s="3"/>
      <c r="G56" s="4"/>
      <c r="H56" s="6">
        <f>1000/I56</f>
        <v>141.75920958449544</v>
      </c>
      <c r="I56" s="7">
        <f>I55+(F48*I49)</f>
        <v>7.0542154046362047</v>
      </c>
    </row>
    <row r="57" spans="1:9" x14ac:dyDescent="0.3">
      <c r="A57" s="1" t="s">
        <v>37</v>
      </c>
      <c r="C57" s="3"/>
      <c r="D57" s="3"/>
      <c r="E57" s="3"/>
      <c r="F57" s="3"/>
      <c r="G57" s="4"/>
      <c r="H57" s="9">
        <f>H56</f>
        <v>141.75920958449544</v>
      </c>
      <c r="I57" s="10">
        <f>I56</f>
        <v>7.0542154046362047</v>
      </c>
    </row>
    <row r="58" spans="1:9" x14ac:dyDescent="0.3">
      <c r="C58" s="3"/>
      <c r="D58" s="3"/>
      <c r="E58" s="3"/>
      <c r="F58" s="3"/>
    </row>
    <row r="59" spans="1:9" x14ac:dyDescent="0.3">
      <c r="D59" s="3"/>
      <c r="E59" s="3"/>
      <c r="F59" s="3"/>
    </row>
    <row r="60" spans="1:9" x14ac:dyDescent="0.3">
      <c r="C60" s="3"/>
      <c r="D60" s="3"/>
      <c r="E60" s="3"/>
      <c r="F60" s="3"/>
    </row>
    <row r="61" spans="1:9" x14ac:dyDescent="0.3">
      <c r="C61" s="3"/>
      <c r="D61" s="3"/>
      <c r="E61" s="3"/>
      <c r="F61" s="3"/>
    </row>
    <row r="64" spans="1:9" x14ac:dyDescent="0.3">
      <c r="C64" s="2"/>
      <c r="D64" s="2"/>
      <c r="E64" s="2"/>
      <c r="F64" s="2"/>
      <c r="G64" s="3"/>
    </row>
    <row r="65" spans="3:7" x14ac:dyDescent="0.3">
      <c r="C65" s="3"/>
      <c r="D65" s="3"/>
      <c r="E65" s="3"/>
      <c r="F65" s="3"/>
      <c r="G65" s="3"/>
    </row>
    <row r="66" spans="3:7" x14ac:dyDescent="0.3">
      <c r="C66" s="3"/>
      <c r="D66" s="3"/>
      <c r="E66" s="3"/>
      <c r="F66" s="3"/>
    </row>
    <row r="67" spans="3:7" x14ac:dyDescent="0.3">
      <c r="C67" s="3"/>
      <c r="D67" s="3"/>
      <c r="E67" s="3"/>
      <c r="F67" s="3"/>
    </row>
    <row r="68" spans="3:7" x14ac:dyDescent="0.3">
      <c r="C68" s="3"/>
      <c r="D68" s="3"/>
      <c r="E68" s="3"/>
      <c r="F68" s="3"/>
    </row>
    <row r="69" spans="3:7" x14ac:dyDescent="0.3">
      <c r="D69" s="3"/>
      <c r="E69" s="3"/>
      <c r="F69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Jacobs 2016 calculations</vt:lpstr>
      <vt:lpstr>Atkins 2022 calculations</vt:lpstr>
      <vt:lpstr>Howard Pack 2024 (1)</vt:lpstr>
      <vt:lpstr>Howard Pack 2024 (2)</vt:lpstr>
      <vt:lpstr>Howard Pack 2024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Pack</dc:creator>
  <cp:lastModifiedBy>Howard Pack</cp:lastModifiedBy>
  <dcterms:created xsi:type="dcterms:W3CDTF">2024-11-12T18:51:45Z</dcterms:created>
  <dcterms:modified xsi:type="dcterms:W3CDTF">2024-11-12T19:04:31Z</dcterms:modified>
</cp:coreProperties>
</file>